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üldöttgyűlések\2020\KGY dokumentumok\"/>
    </mc:Choice>
  </mc:AlternateContent>
  <bookViews>
    <workbookView xWindow="0" yWindow="0" windowWidth="9700" windowHeight="5610"/>
  </bookViews>
  <sheets>
    <sheet name="eredménykimut" sheetId="10" r:id="rId1"/>
    <sheet name="mérleg" sheetId="9" r:id="rId2"/>
    <sheet name="mutatók" sheetId="13" r:id="rId3"/>
    <sheet name="vállalkozási tevékenység" sheetId="11" r:id="rId4"/>
  </sheets>
  <definedNames>
    <definedName name="_xlnm.Print_Area" localSheetId="0">eredménykimut!$A$1:$K$26</definedName>
    <definedName name="_xlnm.Print_Area" localSheetId="1">mérleg!$A$1:$E$40</definedName>
  </definedNames>
  <calcPr calcId="162913"/>
</workbook>
</file>

<file path=xl/calcChain.xml><?xml version="1.0" encoding="utf-8"?>
<calcChain xmlns="http://schemas.openxmlformats.org/spreadsheetml/2006/main">
  <c r="E17" i="9" l="1"/>
  <c r="E32" i="9"/>
  <c r="E31" i="9"/>
  <c r="E12" i="9"/>
  <c r="C17" i="9" l="1"/>
  <c r="C12" i="9"/>
  <c r="I17" i="10" l="1"/>
  <c r="J17" i="10"/>
  <c r="J16" i="10"/>
  <c r="I16" i="10"/>
  <c r="I8" i="10"/>
  <c r="D17" i="10"/>
  <c r="C17" i="10"/>
  <c r="D16" i="10"/>
  <c r="C16" i="10"/>
  <c r="D15" i="10"/>
  <c r="C12" i="10"/>
  <c r="C10" i="10" s="1"/>
  <c r="C15" i="10" s="1"/>
  <c r="D11" i="10"/>
  <c r="B5" i="11" l="1"/>
  <c r="K5" i="11" l="1"/>
  <c r="I16" i="11"/>
  <c r="D9" i="13" l="1"/>
  <c r="D15" i="9" l="1"/>
  <c r="G15" i="10"/>
  <c r="B9" i="11" l="1"/>
  <c r="E38" i="11" s="1"/>
  <c r="A9" i="11"/>
  <c r="I21" i="10" l="1"/>
  <c r="J11" i="10"/>
  <c r="I10" i="10"/>
  <c r="I15" i="10" s="1"/>
  <c r="J15" i="10"/>
  <c r="G21" i="10"/>
  <c r="F21" i="10"/>
  <c r="D21" i="10"/>
  <c r="C21" i="10"/>
  <c r="F15" i="10"/>
  <c r="H15" i="10"/>
  <c r="C30" i="9"/>
  <c r="E21" i="10" l="1"/>
  <c r="J21" i="10"/>
  <c r="C15" i="9" l="1"/>
  <c r="C10" i="9"/>
  <c r="C21" i="9" l="1"/>
  <c r="B9" i="13"/>
  <c r="K20" i="10"/>
  <c r="K12" i="10"/>
  <c r="K8" i="10"/>
  <c r="K9" i="10"/>
  <c r="K10" i="10"/>
  <c r="K11" i="10"/>
  <c r="K13" i="10"/>
  <c r="K14" i="10"/>
  <c r="K16" i="10"/>
  <c r="K17" i="10"/>
  <c r="K18" i="10"/>
  <c r="K19" i="10"/>
  <c r="E20" i="10"/>
  <c r="E19" i="10"/>
  <c r="E18" i="10"/>
  <c r="E17" i="10"/>
  <c r="E16" i="10"/>
  <c r="E14" i="10"/>
  <c r="E13" i="10"/>
  <c r="E12" i="10"/>
  <c r="E11" i="10"/>
  <c r="E10" i="10"/>
  <c r="E9" i="10"/>
  <c r="E8" i="10"/>
  <c r="I17" i="11"/>
  <c r="K15" i="10" l="1"/>
  <c r="E15" i="10"/>
  <c r="I46" i="11"/>
  <c r="J47" i="11" s="1"/>
  <c r="I47" i="11" s="1"/>
  <c r="C22" i="10"/>
  <c r="E25" i="10"/>
  <c r="E23" i="10"/>
  <c r="A9" i="10"/>
  <c r="A10" i="10" s="1"/>
  <c r="A11" i="10" s="1"/>
  <c r="A12" i="10" s="1"/>
  <c r="A13" i="10" s="1"/>
  <c r="A14" i="10" s="1"/>
  <c r="E41" i="11"/>
  <c r="C9" i="11"/>
  <c r="E37" i="11" s="1"/>
  <c r="E9" i="11"/>
  <c r="E36" i="11" s="1"/>
  <c r="K9" i="11"/>
  <c r="C26" i="11" s="1"/>
  <c r="D9" i="11"/>
  <c r="E39" i="11" s="1"/>
  <c r="F9" i="11"/>
  <c r="E33" i="11"/>
  <c r="G9" i="11"/>
  <c r="E34" i="11" s="1"/>
  <c r="H9" i="11"/>
  <c r="E35" i="11" s="1"/>
  <c r="J9" i="11"/>
  <c r="C25" i="11" s="1"/>
  <c r="L9" i="11"/>
  <c r="C21" i="11" s="1"/>
  <c r="J25" i="11" s="1"/>
  <c r="E30" i="9"/>
  <c r="E10" i="9"/>
  <c r="E15" i="9"/>
  <c r="D8" i="13" s="1"/>
  <c r="I9" i="11"/>
  <c r="C27" i="11" s="1"/>
  <c r="I18" i="11"/>
  <c r="D22" i="9"/>
  <c r="H21" i="10"/>
  <c r="G22" i="10"/>
  <c r="H25" i="10"/>
  <c r="H23" i="10"/>
  <c r="D30" i="9"/>
  <c r="D10" i="9"/>
  <c r="A11" i="9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K25" i="10"/>
  <c r="K23" i="10"/>
  <c r="C16" i="11" l="1"/>
  <c r="C40" i="11"/>
  <c r="H26" i="11" s="1"/>
  <c r="C39" i="11"/>
  <c r="C38" i="11"/>
  <c r="C37" i="11"/>
  <c r="D21" i="9"/>
  <c r="D34" i="9"/>
  <c r="C41" i="11"/>
  <c r="A15" i="10"/>
  <c r="A16" i="10" s="1"/>
  <c r="A17" i="10" s="1"/>
  <c r="A18" i="10" s="1"/>
  <c r="A19" i="10" s="1"/>
  <c r="A20" i="10" s="1"/>
  <c r="C17" i="11"/>
  <c r="I48" i="11" s="1"/>
  <c r="I49" i="11" s="1"/>
  <c r="I51" i="11" s="1"/>
  <c r="C34" i="11"/>
  <c r="C33" i="11"/>
  <c r="H27" i="11" s="1"/>
  <c r="C35" i="11"/>
  <c r="B4" i="13"/>
  <c r="B8" i="13"/>
  <c r="B7" i="13" s="1"/>
  <c r="E21" i="9"/>
  <c r="I22" i="10"/>
  <c r="I24" i="10" s="1"/>
  <c r="K21" i="10"/>
  <c r="J22" i="10"/>
  <c r="J26" i="10" s="1"/>
  <c r="E28" i="9" s="1"/>
  <c r="D22" i="10"/>
  <c r="E22" i="10" s="1"/>
  <c r="C36" i="11"/>
  <c r="H24" i="11" s="1"/>
  <c r="E42" i="11"/>
  <c r="G26" i="10"/>
  <c r="G24" i="10"/>
  <c r="C26" i="10"/>
  <c r="C27" i="9" s="1"/>
  <c r="C24" i="10"/>
  <c r="C29" i="11"/>
  <c r="F22" i="10"/>
  <c r="H25" i="11" l="1"/>
  <c r="A21" i="10"/>
  <c r="A22" i="10" s="1"/>
  <c r="A23" i="10" s="1"/>
  <c r="A24" i="10" s="1"/>
  <c r="A25" i="10" s="1"/>
  <c r="A26" i="10" s="1"/>
  <c r="D26" i="10"/>
  <c r="C28" i="9" s="1"/>
  <c r="D24" i="10"/>
  <c r="E24" i="10" s="1"/>
  <c r="D7" i="13"/>
  <c r="H28" i="11"/>
  <c r="I26" i="10"/>
  <c r="K26" i="10" s="1"/>
  <c r="J24" i="10"/>
  <c r="K24" i="10" s="1"/>
  <c r="K22" i="10"/>
  <c r="C42" i="11"/>
  <c r="C44" i="11" s="1"/>
  <c r="C46" i="11" s="1"/>
  <c r="F26" i="10"/>
  <c r="H26" i="10" s="1"/>
  <c r="H22" i="10"/>
  <c r="F24" i="10"/>
  <c r="H24" i="10" s="1"/>
  <c r="C22" i="9" l="1"/>
  <c r="C34" i="9" s="1"/>
  <c r="E26" i="10"/>
  <c r="H29" i="11"/>
  <c r="E27" i="9"/>
  <c r="E22" i="9" l="1"/>
  <c r="C48" i="11"/>
  <c r="E34" i="9" l="1"/>
  <c r="B3" i="13"/>
  <c r="B2" i="13" s="1"/>
  <c r="B13" i="13"/>
  <c r="C50" i="11"/>
  <c r="C52" i="11" s="1"/>
  <c r="C54" i="11" s="1"/>
  <c r="B14" i="13" l="1"/>
  <c r="B12" i="13" s="1"/>
</calcChain>
</file>

<file path=xl/sharedStrings.xml><?xml version="1.0" encoding="utf-8"?>
<sst xmlns="http://schemas.openxmlformats.org/spreadsheetml/2006/main" count="157" uniqueCount="139">
  <si>
    <t>Tétel megnevezése</t>
  </si>
  <si>
    <t>Előző év</t>
  </si>
  <si>
    <t>Alaptev.</t>
  </si>
  <si>
    <t>Váll. Tev.</t>
  </si>
  <si>
    <t>Összes</t>
  </si>
  <si>
    <t>Tárgyév</t>
  </si>
  <si>
    <t>1. Értékesítés nettó árbevétele</t>
  </si>
  <si>
    <t>2. Aktívált teljesítmények értéke</t>
  </si>
  <si>
    <t>3. Egyéb bevételek</t>
  </si>
  <si>
    <t>4. Pénzügyi műveletek bevételei</t>
  </si>
  <si>
    <t>A. Összes bevétel</t>
  </si>
  <si>
    <t>B. Összes ráfordítás</t>
  </si>
  <si>
    <t>C. Adózás előtti eredmény (A-B)</t>
  </si>
  <si>
    <t>Előző év(ek) helyesbítései</t>
  </si>
  <si>
    <t>Sor-szám</t>
  </si>
  <si>
    <t>Kettős könyvvitelt vezető egyéb szervezetek egyszerűsített éves beszámolójának eredménykimutatása</t>
  </si>
  <si>
    <t>Kettős könyvvitelt vezető egyéb szervezetek egyszerűsített éves beszámolójának mérlege</t>
  </si>
  <si>
    <t xml:space="preserve">Szervezet neve: Települési Önkormányzatok Országos szövetsége </t>
  </si>
  <si>
    <t>a</t>
  </si>
  <si>
    <t>b</t>
  </si>
  <si>
    <t>c</t>
  </si>
  <si>
    <t>d</t>
  </si>
  <si>
    <t>e</t>
  </si>
  <si>
    <t>A. Befektetett eszközök</t>
  </si>
  <si>
    <t>I. Immateriális Javak</t>
  </si>
  <si>
    <t>II. Tárgyi Eszközök</t>
  </si>
  <si>
    <t>III. Befektetett pénzügyi eszközök</t>
  </si>
  <si>
    <t>IV. Befektetett eszközök értékhelyesbítése</t>
  </si>
  <si>
    <t>B. Forgóeszközök</t>
  </si>
  <si>
    <t>I. Készletek</t>
  </si>
  <si>
    <t>II. Követelések</t>
  </si>
  <si>
    <t>III. Értékpapírok</t>
  </si>
  <si>
    <t>IV. Pénzeszközök</t>
  </si>
  <si>
    <t>C. Aktív időbeli elhatárolások</t>
  </si>
  <si>
    <t>ESZKÖZÖK (AKTÍVÁK) ÖSSZESEN</t>
  </si>
  <si>
    <t>D. Saját tőke</t>
  </si>
  <si>
    <t>I. Induló tőke/ Jegyzett tőke</t>
  </si>
  <si>
    <t>II. Tőkeváltozás/Eredmény</t>
  </si>
  <si>
    <t>III. Lekötött tartalék</t>
  </si>
  <si>
    <t>IV. Értékelési tartalék</t>
  </si>
  <si>
    <t>E. Céltartalék</t>
  </si>
  <si>
    <t>F. Kötelezettségek</t>
  </si>
  <si>
    <t>I. Hosszú lejáratú kötelezettségek</t>
  </si>
  <si>
    <t>II. Rövid lejáratú kötelezettségek</t>
  </si>
  <si>
    <t>G. Passzív időbeli elhatárolás</t>
  </si>
  <si>
    <t>FORRÁSOK (PASSZÍVÁK) ÖSSZESEN</t>
  </si>
  <si>
    <t>V. Tárgyévi eredmény alaptevékenységből</t>
  </si>
  <si>
    <t>VI. Tárgyévi eredmény vállalkozási tevékenységből</t>
  </si>
  <si>
    <t>Adószám: 19008707 - 2 - 42</t>
  </si>
  <si>
    <t>-----------------------------------------------</t>
  </si>
  <si>
    <t>A szervezet vezetője (képviselője)</t>
  </si>
  <si>
    <t>614 ujság költségei</t>
  </si>
  <si>
    <t>632 hirdetés közvetlen költségei</t>
  </si>
  <si>
    <t>Újság kiadás</t>
  </si>
  <si>
    <t>egyéb</t>
  </si>
  <si>
    <t>Postaktg</t>
  </si>
  <si>
    <t>Szállítás (taxi)</t>
  </si>
  <si>
    <t>Borítékok</t>
  </si>
  <si>
    <t>Csomagolás</t>
  </si>
  <si>
    <t>Járulék</t>
  </si>
  <si>
    <t>Tételes EHO</t>
  </si>
  <si>
    <t>Kulturális járulék</t>
  </si>
  <si>
    <t>EHO</t>
  </si>
  <si>
    <t>kutatás</t>
  </si>
  <si>
    <t>Bevétel:</t>
  </si>
  <si>
    <t>hirdetés</t>
  </si>
  <si>
    <t xml:space="preserve">kutatás </t>
  </si>
  <si>
    <t>egyéb szolg.</t>
  </si>
  <si>
    <t>Vállalkozási tevékenység aránya:</t>
  </si>
  <si>
    <t>összes bevétel:</t>
  </si>
  <si>
    <t>(kamat nélkül)</t>
  </si>
  <si>
    <t>vállalkozási bevétel:</t>
  </si>
  <si>
    <t>arány:</t>
  </si>
  <si>
    <t>Kiadás:</t>
  </si>
  <si>
    <t>szakértői dijak</t>
  </si>
  <si>
    <t>Költségnemenként:</t>
  </si>
  <si>
    <t>Közvetlen költség</t>
  </si>
  <si>
    <t>anyagköltség</t>
  </si>
  <si>
    <t>Hirdetésszervezés</t>
  </si>
  <si>
    <t>szolgáltatás</t>
  </si>
  <si>
    <t>ebből közvetített:</t>
  </si>
  <si>
    <t>járuléka</t>
  </si>
  <si>
    <t>személyi</t>
  </si>
  <si>
    <t>kulturális járulék</t>
  </si>
  <si>
    <t>csomagolás</t>
  </si>
  <si>
    <t>Szállítás</t>
  </si>
  <si>
    <t>Bankköltség</t>
  </si>
  <si>
    <t>Ujság kiadás</t>
  </si>
  <si>
    <t>VT AEE</t>
  </si>
  <si>
    <t>iparűzési adó</t>
  </si>
  <si>
    <t>csökkentő tétel</t>
  </si>
  <si>
    <t>TAO 9.§ (2)b és TAO 9.§ (8) alapján</t>
  </si>
  <si>
    <t>öszes bevétel</t>
  </si>
  <si>
    <t>TAO 9.§ (2)e (alaptev.vesztesége)</t>
  </si>
  <si>
    <t>kedv.váll.tev</t>
  </si>
  <si>
    <t>(összes bev. 10%-a, max. 20 MFt)</t>
  </si>
  <si>
    <t>TAO 9.§ (6),(7) és (8) alapján</t>
  </si>
  <si>
    <t xml:space="preserve"> </t>
  </si>
  <si>
    <t>nem kedv. váll.tev.</t>
  </si>
  <si>
    <t>adóalap</t>
  </si>
  <si>
    <t>9.§.7. szerinti arány</t>
  </si>
  <si>
    <t>nyereségadó</t>
  </si>
  <si>
    <t>hirdetés szervezés</t>
  </si>
  <si>
    <t>631 kutatás</t>
  </si>
  <si>
    <t>Borítékok, nyomtatvány</t>
  </si>
  <si>
    <t>szoc.ho</t>
  </si>
  <si>
    <t>összes váll.tev. bev.</t>
  </si>
  <si>
    <t>Vállalkozási tev.eredménye</t>
  </si>
  <si>
    <t xml:space="preserve">   - tagdíj, alapítótól kapott befizetés</t>
  </si>
  <si>
    <t xml:space="preserve">   - támogatások</t>
  </si>
  <si>
    <t>6. Anyagjellegű ráfordítások</t>
  </si>
  <si>
    <t>7. Személyi jellegű ráfordítások</t>
  </si>
  <si>
    <t>8. Értékcsökkenési leírás</t>
  </si>
  <si>
    <t>9. Egyéb ráfordítások</t>
  </si>
  <si>
    <t>10. Pénzügyi műveletek ráfordításai</t>
  </si>
  <si>
    <t>12. Adófizetési kötelezettség</t>
  </si>
  <si>
    <t>13. Jóváhagyott osztalék</t>
  </si>
  <si>
    <t>E. Tárgyévi eredmény (D-13)</t>
  </si>
  <si>
    <t>saját tőke/ kötelezettség</t>
  </si>
  <si>
    <t>tőkeszerkezeti mutató:</t>
  </si>
  <si>
    <t>Likviditási mutató</t>
  </si>
  <si>
    <t>forgóeszöz/rövid lej köt.</t>
  </si>
  <si>
    <t>tőkeerősség</t>
  </si>
  <si>
    <t>saját tőke/források összesen</t>
  </si>
  <si>
    <t>30% alatt kritikus</t>
  </si>
  <si>
    <t>1,3 felett elfogadható</t>
  </si>
  <si>
    <r>
      <t>Közvetett költség</t>
    </r>
    <r>
      <rPr>
        <b/>
        <sz val="10"/>
        <color indexed="10"/>
        <rFont val="Arial CE"/>
        <charset val="238"/>
      </rPr>
      <t xml:space="preserve"> ( 2,71% )</t>
    </r>
  </si>
  <si>
    <t>járulék/adó</t>
  </si>
  <si>
    <t xml:space="preserve">bankkamat váll.tev arányos </t>
  </si>
  <si>
    <t>Szervezet címe: 1071 Budapest,Damjanich utca 44.</t>
  </si>
  <si>
    <t>Egyéb költség</t>
  </si>
  <si>
    <t>Szervezet neve, címe: Települési Önkormányzatok Országos szövetsége 1071 Budapest, Damjanich u. 44. III/1.</t>
  </si>
  <si>
    <t xml:space="preserve">   - adományok</t>
  </si>
  <si>
    <t>D. Adózott eredmény (C-12)</t>
  </si>
  <si>
    <t>Schmidt Jenő</t>
  </si>
  <si>
    <t>TÖOSZ elnök</t>
  </si>
  <si>
    <t>tagdíjkövetelés nélkül</t>
  </si>
  <si>
    <t>Települési Önkormányzatok Országos Szövetségének vállalkozási tevékenysége 2019</t>
  </si>
  <si>
    <t>Kelt: Budapest, 2020. március 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</si>
</sst>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F_t_-;\-* #,##0\ _F_t_-;_-* &quot;-&quot;\ _F_t_-;_-@_-"/>
    <numFmt numFmtId="165" formatCode="#,##0_ ;\-#,##0\ "/>
  </numFmts>
  <fonts count="1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10"/>
      <color indexed="10"/>
      <name val="Arial CE"/>
      <charset val="238"/>
    </font>
    <font>
      <b/>
      <sz val="10"/>
      <color indexed="10"/>
      <name val="Arial CE"/>
      <charset val="238"/>
    </font>
    <font>
      <b/>
      <u val="singleAccounting"/>
      <sz val="10"/>
      <color indexed="12"/>
      <name val="Arial CE"/>
      <charset val="238"/>
    </font>
    <font>
      <sz val="10"/>
      <color indexed="57"/>
      <name val="Arial CE"/>
      <charset val="238"/>
    </font>
    <font>
      <b/>
      <sz val="10"/>
      <color indexed="5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Border="1"/>
    <xf numFmtId="3" fontId="4" fillId="0" borderId="0" xfId="0" applyNumberFormat="1" applyFont="1" applyAlignment="1"/>
    <xf numFmtId="3" fontId="3" fillId="0" borderId="1" xfId="0" applyNumberFormat="1" applyFont="1" applyBorder="1" applyAlignment="1">
      <alignment horizontal="center" vertical="center"/>
    </xf>
    <xf numFmtId="3" fontId="0" fillId="0" borderId="1" xfId="0" applyNumberFormat="1" applyBorder="1"/>
    <xf numFmtId="3" fontId="3" fillId="0" borderId="1" xfId="0" applyNumberFormat="1" applyFont="1" applyBorder="1"/>
    <xf numFmtId="3" fontId="0" fillId="0" borderId="0" xfId="0" applyNumberFormat="1"/>
    <xf numFmtId="49" fontId="4" fillId="0" borderId="0" xfId="0" applyNumberFormat="1" applyFont="1" applyAlignment="1">
      <alignment horizontal="center"/>
    </xf>
    <xf numFmtId="0" fontId="3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/>
    <xf numFmtId="3" fontId="1" fillId="0" borderId="0" xfId="0" applyNumberFormat="1" applyFont="1"/>
    <xf numFmtId="0" fontId="1" fillId="0" borderId="1" xfId="0" applyFont="1" applyBorder="1" applyAlignment="1">
      <alignment vertical="center" shrinkToFit="1"/>
    </xf>
    <xf numFmtId="0" fontId="3" fillId="0" borderId="0" xfId="0" applyFont="1" applyAlignme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165" fontId="3" fillId="0" borderId="0" xfId="0" applyNumberFormat="1" applyFont="1"/>
    <xf numFmtId="164" fontId="2" fillId="0" borderId="0" xfId="0" applyNumberFormat="1" applyFont="1"/>
    <xf numFmtId="3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/>
    <xf numFmtId="3" fontId="3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3" fontId="3" fillId="0" borderId="0" xfId="0" applyNumberFormat="1" applyFont="1"/>
    <xf numFmtId="164" fontId="3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10" fontId="0" fillId="0" borderId="0" xfId="0" applyNumberFormat="1" applyAlignment="1">
      <alignment horizontal="center"/>
    </xf>
    <xf numFmtId="164" fontId="7" fillId="0" borderId="0" xfId="0" applyNumberFormat="1" applyFont="1"/>
    <xf numFmtId="164" fontId="1" fillId="0" borderId="0" xfId="0" applyNumberFormat="1" applyFont="1"/>
    <xf numFmtId="164" fontId="2" fillId="0" borderId="0" xfId="0" applyNumberFormat="1" applyFont="1" applyAlignment="1">
      <alignment horizontal="right"/>
    </xf>
    <xf numFmtId="10" fontId="0" fillId="0" borderId="0" xfId="0" applyNumberFormat="1"/>
    <xf numFmtId="164" fontId="0" fillId="0" borderId="0" xfId="0" applyNumberFormat="1" applyAlignment="1">
      <alignment vertical="center"/>
    </xf>
    <xf numFmtId="3" fontId="1" fillId="0" borderId="0" xfId="0" applyNumberFormat="1" applyFont="1" applyAlignment="1">
      <alignment horizontal="right"/>
    </xf>
    <xf numFmtId="164" fontId="6" fillId="0" borderId="0" xfId="0" applyNumberFormat="1" applyFont="1"/>
    <xf numFmtId="164" fontId="2" fillId="0" borderId="0" xfId="0" applyNumberFormat="1" applyFont="1" applyAlignment="1">
      <alignment horizontal="center" wrapText="1"/>
    </xf>
    <xf numFmtId="164" fontId="0" fillId="2" borderId="0" xfId="0" applyNumberFormat="1" applyFill="1"/>
    <xf numFmtId="164" fontId="8" fillId="0" borderId="0" xfId="0" applyNumberFormat="1" applyFont="1"/>
    <xf numFmtId="164" fontId="9" fillId="0" borderId="0" xfId="0" applyNumberFormat="1" applyFont="1"/>
    <xf numFmtId="165" fontId="9" fillId="0" borderId="0" xfId="0" applyNumberFormat="1" applyFont="1"/>
    <xf numFmtId="164" fontId="9" fillId="0" borderId="0" xfId="0" applyNumberFormat="1" applyFont="1" applyAlignment="1">
      <alignment horizontal="left"/>
    </xf>
    <xf numFmtId="165" fontId="10" fillId="0" borderId="0" xfId="0" applyNumberFormat="1" applyFont="1"/>
    <xf numFmtId="3" fontId="0" fillId="0" borderId="0" xfId="0" applyNumberFormat="1" applyAlignment="1">
      <alignment horizontal="center" wrapText="1"/>
    </xf>
    <xf numFmtId="0" fontId="1" fillId="0" borderId="1" xfId="0" applyFont="1" applyBorder="1"/>
    <xf numFmtId="10" fontId="3" fillId="0" borderId="0" xfId="0" applyNumberFormat="1" applyFont="1"/>
    <xf numFmtId="3" fontId="0" fillId="0" borderId="1" xfId="0" applyNumberFormat="1" applyFont="1" applyBorder="1"/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" fillId="0" borderId="0" xfId="0" applyFont="1" applyFill="1"/>
    <xf numFmtId="3" fontId="1" fillId="0" borderId="0" xfId="0" applyNumberFormat="1" applyFont="1" applyFill="1"/>
    <xf numFmtId="0" fontId="0" fillId="0" borderId="0" xfId="0" applyFill="1"/>
    <xf numFmtId="3" fontId="3" fillId="0" borderId="0" xfId="0" applyNumberFormat="1" applyFont="1" applyFill="1" applyAlignment="1">
      <alignment vertical="center"/>
    </xf>
    <xf numFmtId="3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3" fontId="1" fillId="0" borderId="0" xfId="0" quotePrefix="1" applyNumberFormat="1" applyFont="1" applyAlignment="1">
      <alignment horizontal="center"/>
    </xf>
    <xf numFmtId="3" fontId="0" fillId="0" borderId="0" xfId="0" applyNumberFormat="1" applyFont="1" applyAlignment="1">
      <alignment horizontal="center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0" fillId="3" borderId="0" xfId="0" applyNumberFormat="1" applyFill="1" applyAlignment="1">
      <alignment horizontal="center"/>
    </xf>
    <xf numFmtId="164" fontId="0" fillId="4" borderId="0" xfId="0" applyNumberFormat="1" applyFill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workbookViewId="0">
      <selection activeCell="N9" sqref="N9"/>
    </sheetView>
  </sheetViews>
  <sheetFormatPr defaultRowHeight="12.5" x14ac:dyDescent="0.25"/>
  <cols>
    <col min="1" max="1" width="6.453125" style="2" customWidth="1"/>
    <col min="2" max="2" width="30.453125" customWidth="1"/>
    <col min="3" max="3" width="11.6328125" style="16" customWidth="1"/>
    <col min="4" max="4" width="10.36328125" style="16" customWidth="1"/>
    <col min="5" max="5" width="10" style="16" customWidth="1"/>
    <col min="6" max="6" width="9.08984375" style="16"/>
    <col min="7" max="7" width="10.54296875" style="16" customWidth="1"/>
    <col min="8" max="8" width="10.36328125" style="16" customWidth="1"/>
    <col min="9" max="9" width="11.453125" style="16" customWidth="1"/>
    <col min="10" max="10" width="9.08984375" style="16"/>
    <col min="11" max="11" width="11.08984375" style="16" bestFit="1" customWidth="1"/>
  </cols>
  <sheetData>
    <row r="1" spans="1:14" ht="15.5" x14ac:dyDescent="0.35">
      <c r="A1" s="79" t="s">
        <v>48</v>
      </c>
      <c r="B1" s="79"/>
      <c r="C1" s="3"/>
      <c r="D1" s="3"/>
      <c r="E1" s="3"/>
      <c r="F1" s="3"/>
      <c r="G1" s="3"/>
      <c r="H1" s="3"/>
      <c r="I1" s="3"/>
      <c r="J1" s="17"/>
      <c r="K1" s="12">
        <v>2019</v>
      </c>
    </row>
    <row r="2" spans="1:14" s="6" customFormat="1" ht="15.5" x14ac:dyDescent="0.35">
      <c r="A2" s="79" t="s">
        <v>131</v>
      </c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1:14" ht="6.75" customHeight="1" x14ac:dyDescent="0.25"/>
    <row r="4" spans="1:14" ht="15.5" x14ac:dyDescent="0.35">
      <c r="A4" s="78" t="s">
        <v>15</v>
      </c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4" ht="23.25" customHeight="1" x14ac:dyDescent="0.25"/>
    <row r="6" spans="1:14" s="5" customFormat="1" ht="15" customHeight="1" x14ac:dyDescent="0.25">
      <c r="A6" s="81" t="s">
        <v>14</v>
      </c>
      <c r="B6" s="80" t="s">
        <v>0</v>
      </c>
      <c r="C6" s="77" t="s">
        <v>1</v>
      </c>
      <c r="D6" s="77"/>
      <c r="E6" s="77"/>
      <c r="F6" s="77" t="s">
        <v>13</v>
      </c>
      <c r="G6" s="77"/>
      <c r="H6" s="77"/>
      <c r="I6" s="77" t="s">
        <v>5</v>
      </c>
      <c r="J6" s="77"/>
      <c r="K6" s="77"/>
    </row>
    <row r="7" spans="1:14" s="5" customFormat="1" ht="15" customHeight="1" x14ac:dyDescent="0.25">
      <c r="A7" s="81"/>
      <c r="B7" s="80"/>
      <c r="C7" s="13" t="s">
        <v>2</v>
      </c>
      <c r="D7" s="13" t="s">
        <v>3</v>
      </c>
      <c r="E7" s="13" t="s">
        <v>4</v>
      </c>
      <c r="F7" s="13" t="s">
        <v>2</v>
      </c>
      <c r="G7" s="13" t="s">
        <v>3</v>
      </c>
      <c r="H7" s="13" t="s">
        <v>4</v>
      </c>
      <c r="I7" s="13" t="s">
        <v>2</v>
      </c>
      <c r="J7" s="13" t="s">
        <v>3</v>
      </c>
      <c r="K7" s="13" t="s">
        <v>4</v>
      </c>
    </row>
    <row r="8" spans="1:14" ht="15" customHeight="1" x14ac:dyDescent="0.25">
      <c r="A8" s="9">
        <v>1</v>
      </c>
      <c r="B8" s="10" t="s">
        <v>6</v>
      </c>
      <c r="C8" s="14">
        <v>16141</v>
      </c>
      <c r="D8" s="14">
        <v>7841</v>
      </c>
      <c r="E8" s="14">
        <f t="shared" ref="E8:E14" si="0">C8+D8</f>
        <v>23982</v>
      </c>
      <c r="F8" s="14">
        <v>0</v>
      </c>
      <c r="G8" s="14">
        <v>0</v>
      </c>
      <c r="H8" s="14">
        <v>0</v>
      </c>
      <c r="I8" s="14">
        <f>4000+2519</f>
        <v>6519</v>
      </c>
      <c r="J8" s="14">
        <v>12445</v>
      </c>
      <c r="K8" s="14">
        <f t="shared" ref="K8:K14" si="1">I8+J8</f>
        <v>18964</v>
      </c>
    </row>
    <row r="9" spans="1:14" ht="15" customHeight="1" x14ac:dyDescent="0.25">
      <c r="A9" s="9">
        <f>A8+1</f>
        <v>2</v>
      </c>
      <c r="B9" s="10" t="s">
        <v>7</v>
      </c>
      <c r="C9" s="14">
        <v>0</v>
      </c>
      <c r="D9" s="14">
        <v>0</v>
      </c>
      <c r="E9" s="14">
        <f t="shared" si="0"/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f t="shared" si="1"/>
        <v>0</v>
      </c>
    </row>
    <row r="10" spans="1:14" ht="15" customHeight="1" x14ac:dyDescent="0.25">
      <c r="A10" s="9">
        <f t="shared" ref="A10:A26" si="2">A9+1</f>
        <v>3</v>
      </c>
      <c r="B10" s="10" t="s">
        <v>8</v>
      </c>
      <c r="C10" s="14">
        <f>+C11+C12+C13</f>
        <v>115299</v>
      </c>
      <c r="D10" s="14">
        <v>0</v>
      </c>
      <c r="E10" s="14">
        <f t="shared" si="0"/>
        <v>115299</v>
      </c>
      <c r="F10" s="14">
        <v>0</v>
      </c>
      <c r="G10" s="14">
        <v>0</v>
      </c>
      <c r="H10" s="14">
        <v>0</v>
      </c>
      <c r="I10" s="14">
        <f>+I11+I12+I13</f>
        <v>104503</v>
      </c>
      <c r="J10" s="14">
        <v>0</v>
      </c>
      <c r="K10" s="14">
        <f t="shared" si="1"/>
        <v>104503</v>
      </c>
      <c r="N10" s="16"/>
    </row>
    <row r="11" spans="1:14" ht="15" customHeight="1" x14ac:dyDescent="0.25">
      <c r="A11" s="9">
        <f t="shared" si="2"/>
        <v>4</v>
      </c>
      <c r="B11" s="10" t="s">
        <v>108</v>
      </c>
      <c r="C11" s="14">
        <v>75273</v>
      </c>
      <c r="D11" s="14">
        <f>+D10+D12+D13</f>
        <v>0</v>
      </c>
      <c r="E11" s="14">
        <f t="shared" si="0"/>
        <v>75273</v>
      </c>
      <c r="F11" s="14">
        <v>0</v>
      </c>
      <c r="G11" s="14">
        <v>0</v>
      </c>
      <c r="H11" s="14">
        <v>0</v>
      </c>
      <c r="I11" s="14">
        <v>73949</v>
      </c>
      <c r="J11" s="14">
        <f>+J10+J12+J13</f>
        <v>0</v>
      </c>
      <c r="K11" s="14">
        <f t="shared" si="1"/>
        <v>73949</v>
      </c>
      <c r="M11" s="16"/>
    </row>
    <row r="12" spans="1:14" ht="15" customHeight="1" x14ac:dyDescent="0.25">
      <c r="A12" s="9">
        <f t="shared" si="2"/>
        <v>5</v>
      </c>
      <c r="B12" s="10" t="s">
        <v>109</v>
      </c>
      <c r="C12" s="14">
        <f>40026</f>
        <v>40026</v>
      </c>
      <c r="D12" s="14">
        <v>0</v>
      </c>
      <c r="E12" s="14">
        <f t="shared" si="0"/>
        <v>40026</v>
      </c>
      <c r="F12" s="14">
        <v>0</v>
      </c>
      <c r="G12" s="14">
        <v>0</v>
      </c>
      <c r="H12" s="14">
        <v>0</v>
      </c>
      <c r="I12" s="14">
        <v>30554</v>
      </c>
      <c r="J12" s="14">
        <v>0</v>
      </c>
      <c r="K12" s="14">
        <f t="shared" si="1"/>
        <v>30554</v>
      </c>
    </row>
    <row r="13" spans="1:14" ht="15" customHeight="1" x14ac:dyDescent="0.25">
      <c r="A13" s="9">
        <f t="shared" si="2"/>
        <v>6</v>
      </c>
      <c r="B13" s="10" t="s">
        <v>132</v>
      </c>
      <c r="C13" s="14">
        <v>0</v>
      </c>
      <c r="D13" s="14">
        <v>0</v>
      </c>
      <c r="E13" s="14">
        <f t="shared" si="0"/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f t="shared" si="1"/>
        <v>0</v>
      </c>
    </row>
    <row r="14" spans="1:14" ht="15" customHeight="1" x14ac:dyDescent="0.25">
      <c r="A14" s="9">
        <f t="shared" si="2"/>
        <v>7</v>
      </c>
      <c r="B14" s="10" t="s">
        <v>9</v>
      </c>
      <c r="C14" s="14">
        <v>560</v>
      </c>
      <c r="D14" s="14">
        <v>1</v>
      </c>
      <c r="E14" s="14">
        <f t="shared" si="0"/>
        <v>561</v>
      </c>
      <c r="F14" s="14">
        <v>0</v>
      </c>
      <c r="G14" s="14">
        <v>0</v>
      </c>
      <c r="H14" s="14">
        <v>0</v>
      </c>
      <c r="I14" s="14">
        <v>691</v>
      </c>
      <c r="J14" s="14">
        <v>1</v>
      </c>
      <c r="K14" s="14">
        <f t="shared" si="1"/>
        <v>692</v>
      </c>
    </row>
    <row r="15" spans="1:14" s="1" customFormat="1" ht="15" customHeight="1" x14ac:dyDescent="0.3">
      <c r="A15" s="9">
        <f>A14+1</f>
        <v>8</v>
      </c>
      <c r="B15" s="11" t="s">
        <v>10</v>
      </c>
      <c r="C15" s="15">
        <f t="shared" ref="C15:D15" si="3">C8+C9+C10+C14</f>
        <v>132000</v>
      </c>
      <c r="D15" s="15">
        <f t="shared" si="3"/>
        <v>7842</v>
      </c>
      <c r="E15" s="15">
        <f t="shared" ref="E15:K15" si="4">E8+E9+E10+E14</f>
        <v>139842</v>
      </c>
      <c r="F15" s="15">
        <f t="shared" si="4"/>
        <v>0</v>
      </c>
      <c r="G15" s="15">
        <f>G8+G9+G10+G14</f>
        <v>0</v>
      </c>
      <c r="H15" s="15">
        <f t="shared" si="4"/>
        <v>0</v>
      </c>
      <c r="I15" s="15">
        <f t="shared" si="4"/>
        <v>111713</v>
      </c>
      <c r="J15" s="15">
        <f t="shared" si="4"/>
        <v>12446</v>
      </c>
      <c r="K15" s="15">
        <f t="shared" si="4"/>
        <v>124159</v>
      </c>
    </row>
    <row r="16" spans="1:14" ht="15" customHeight="1" x14ac:dyDescent="0.25">
      <c r="A16" s="9">
        <f t="shared" si="2"/>
        <v>9</v>
      </c>
      <c r="B16" s="10" t="s">
        <v>110</v>
      </c>
      <c r="C16" s="14">
        <f>2795+43241+1734</f>
        <v>47770</v>
      </c>
      <c r="D16" s="14">
        <f>404+69</f>
        <v>473</v>
      </c>
      <c r="E16" s="14">
        <f t="shared" ref="E16:E20" si="5">C16+D16</f>
        <v>48243</v>
      </c>
      <c r="F16" s="14">
        <v>0</v>
      </c>
      <c r="G16" s="14">
        <v>0</v>
      </c>
      <c r="H16" s="14">
        <v>0</v>
      </c>
      <c r="I16" s="14">
        <f>2683+44372+1511</f>
        <v>48566</v>
      </c>
      <c r="J16" s="14">
        <f>729+109</f>
        <v>838</v>
      </c>
      <c r="K16" s="14">
        <f t="shared" ref="K16:K19" si="6">I16+J16</f>
        <v>49404</v>
      </c>
    </row>
    <row r="17" spans="1:11" ht="15" customHeight="1" x14ac:dyDescent="0.25">
      <c r="A17" s="9">
        <f t="shared" si="2"/>
        <v>10</v>
      </c>
      <c r="B17" s="10" t="s">
        <v>111</v>
      </c>
      <c r="C17" s="14">
        <f>38390+16807+7354</f>
        <v>62551</v>
      </c>
      <c r="D17" s="14">
        <f>193+38</f>
        <v>231</v>
      </c>
      <c r="E17" s="14">
        <f t="shared" si="5"/>
        <v>62782</v>
      </c>
      <c r="F17" s="14">
        <v>0</v>
      </c>
      <c r="G17" s="14">
        <v>0</v>
      </c>
      <c r="H17" s="14">
        <v>0</v>
      </c>
      <c r="I17" s="14">
        <f>37886+13846+7721</f>
        <v>59453</v>
      </c>
      <c r="J17" s="14">
        <f>124+21</f>
        <v>145</v>
      </c>
      <c r="K17" s="14">
        <f t="shared" si="6"/>
        <v>59598</v>
      </c>
    </row>
    <row r="18" spans="1:11" ht="15" customHeight="1" x14ac:dyDescent="0.25">
      <c r="A18" s="9">
        <f t="shared" si="2"/>
        <v>11</v>
      </c>
      <c r="B18" s="10" t="s">
        <v>112</v>
      </c>
      <c r="C18" s="14">
        <v>2313</v>
      </c>
      <c r="D18" s="14">
        <v>0</v>
      </c>
      <c r="E18" s="14">
        <f t="shared" si="5"/>
        <v>2313</v>
      </c>
      <c r="F18" s="14">
        <v>0</v>
      </c>
      <c r="G18" s="14">
        <v>0</v>
      </c>
      <c r="H18" s="14">
        <v>0</v>
      </c>
      <c r="I18" s="14">
        <v>2290</v>
      </c>
      <c r="J18" s="14">
        <v>0</v>
      </c>
      <c r="K18" s="14">
        <f t="shared" si="6"/>
        <v>2290</v>
      </c>
    </row>
    <row r="19" spans="1:11" ht="15" customHeight="1" x14ac:dyDescent="0.25">
      <c r="A19" s="9">
        <f t="shared" si="2"/>
        <v>12</v>
      </c>
      <c r="B19" s="10" t="s">
        <v>113</v>
      </c>
      <c r="C19" s="14">
        <v>15194</v>
      </c>
      <c r="D19" s="14">
        <v>0</v>
      </c>
      <c r="E19" s="14">
        <f t="shared" si="5"/>
        <v>15194</v>
      </c>
      <c r="F19" s="14">
        <v>0</v>
      </c>
      <c r="G19" s="14">
        <v>0</v>
      </c>
      <c r="H19" s="14">
        <v>0</v>
      </c>
      <c r="I19" s="14">
        <v>6214</v>
      </c>
      <c r="J19" s="14">
        <v>0</v>
      </c>
      <c r="K19" s="14">
        <f t="shared" si="6"/>
        <v>6214</v>
      </c>
    </row>
    <row r="20" spans="1:11" ht="15" customHeight="1" x14ac:dyDescent="0.25">
      <c r="A20" s="9">
        <f t="shared" si="2"/>
        <v>13</v>
      </c>
      <c r="B20" s="10" t="s">
        <v>114</v>
      </c>
      <c r="C20" s="14">
        <v>190</v>
      </c>
      <c r="D20" s="14">
        <v>0</v>
      </c>
      <c r="E20" s="14">
        <f t="shared" si="5"/>
        <v>190</v>
      </c>
      <c r="F20" s="14">
        <v>0</v>
      </c>
      <c r="G20" s="14">
        <v>0</v>
      </c>
      <c r="H20" s="14">
        <v>0</v>
      </c>
      <c r="I20" s="14">
        <v>122</v>
      </c>
      <c r="J20" s="14">
        <v>0</v>
      </c>
      <c r="K20" s="14">
        <f>I20+J20</f>
        <v>122</v>
      </c>
    </row>
    <row r="21" spans="1:11" s="1" customFormat="1" ht="15" customHeight="1" x14ac:dyDescent="0.3">
      <c r="A21" s="9">
        <f>A20+1</f>
        <v>14</v>
      </c>
      <c r="B21" s="11" t="s">
        <v>11</v>
      </c>
      <c r="C21" s="15">
        <f>C16+C17+C18+C19+C20</f>
        <v>128018</v>
      </c>
      <c r="D21" s="15">
        <f>D16+D17+D18+D19+D20</f>
        <v>704</v>
      </c>
      <c r="E21" s="15">
        <f>C21+D21</f>
        <v>128722</v>
      </c>
      <c r="F21" s="15">
        <f>F16+F17+F18+F19+F20</f>
        <v>0</v>
      </c>
      <c r="G21" s="15">
        <f>G16+G17+G18+G19+G20</f>
        <v>0</v>
      </c>
      <c r="H21" s="15">
        <f t="shared" ref="H21:H26" si="7">F21+G21</f>
        <v>0</v>
      </c>
      <c r="I21" s="15">
        <f>I16+I17+I18+I19+I20</f>
        <v>116645</v>
      </c>
      <c r="J21" s="15">
        <f>J16+J17+J18+J19+J20</f>
        <v>983</v>
      </c>
      <c r="K21" s="15">
        <f t="shared" ref="K21:K26" si="8">I21+J21</f>
        <v>117628</v>
      </c>
    </row>
    <row r="22" spans="1:11" s="1" customFormat="1" ht="15" customHeight="1" x14ac:dyDescent="0.3">
      <c r="A22" s="9">
        <f t="shared" si="2"/>
        <v>15</v>
      </c>
      <c r="B22" s="11" t="s">
        <v>12</v>
      </c>
      <c r="C22" s="15">
        <f>C15-C21</f>
        <v>3982</v>
      </c>
      <c r="D22" s="15">
        <f>D15-D21</f>
        <v>7138</v>
      </c>
      <c r="E22" s="15">
        <f t="shared" ref="E22:E26" si="9">C22+D22</f>
        <v>11120</v>
      </c>
      <c r="F22" s="15">
        <f>F15-F21</f>
        <v>0</v>
      </c>
      <c r="G22" s="15">
        <f>G15-G21</f>
        <v>0</v>
      </c>
      <c r="H22" s="15">
        <f t="shared" si="7"/>
        <v>0</v>
      </c>
      <c r="I22" s="15">
        <f>I15-I21</f>
        <v>-4932</v>
      </c>
      <c r="J22" s="15">
        <f>J15-J21</f>
        <v>11463</v>
      </c>
      <c r="K22" s="15">
        <f t="shared" si="8"/>
        <v>6531</v>
      </c>
    </row>
    <row r="23" spans="1:11" s="1" customFormat="1" ht="15" customHeight="1" x14ac:dyDescent="0.3">
      <c r="A23" s="9">
        <f t="shared" si="2"/>
        <v>16</v>
      </c>
      <c r="B23" s="65" t="s">
        <v>115</v>
      </c>
      <c r="C23" s="67">
        <v>0</v>
      </c>
      <c r="D23" s="67">
        <v>0</v>
      </c>
      <c r="E23" s="67">
        <f t="shared" si="9"/>
        <v>0</v>
      </c>
      <c r="F23" s="67">
        <v>0</v>
      </c>
      <c r="G23" s="67">
        <v>0</v>
      </c>
      <c r="H23" s="67">
        <f t="shared" si="7"/>
        <v>0</v>
      </c>
      <c r="I23" s="67">
        <v>0</v>
      </c>
      <c r="J23" s="67">
        <v>0</v>
      </c>
      <c r="K23" s="67">
        <f t="shared" si="8"/>
        <v>0</v>
      </c>
    </row>
    <row r="24" spans="1:11" s="1" customFormat="1" ht="15" customHeight="1" x14ac:dyDescent="0.3">
      <c r="A24" s="9">
        <f t="shared" si="2"/>
        <v>17</v>
      </c>
      <c r="B24" s="11" t="s">
        <v>133</v>
      </c>
      <c r="C24" s="15">
        <f>C22-C23</f>
        <v>3982</v>
      </c>
      <c r="D24" s="15">
        <f>D22-D23</f>
        <v>7138</v>
      </c>
      <c r="E24" s="15">
        <f t="shared" si="9"/>
        <v>11120</v>
      </c>
      <c r="F24" s="15">
        <f>F22-F23</f>
        <v>0</v>
      </c>
      <c r="G24" s="15">
        <f>G22-G23</f>
        <v>0</v>
      </c>
      <c r="H24" s="15">
        <f t="shared" si="7"/>
        <v>0</v>
      </c>
      <c r="I24" s="15">
        <f>I22-I23</f>
        <v>-4932</v>
      </c>
      <c r="J24" s="15">
        <f>J22-J23</f>
        <v>11463</v>
      </c>
      <c r="K24" s="15">
        <f t="shared" si="8"/>
        <v>6531</v>
      </c>
    </row>
    <row r="25" spans="1:11" s="1" customFormat="1" ht="15" customHeight="1" x14ac:dyDescent="0.3">
      <c r="A25" s="9">
        <f t="shared" si="2"/>
        <v>18</v>
      </c>
      <c r="B25" s="65" t="s">
        <v>116</v>
      </c>
      <c r="C25" s="67">
        <v>0</v>
      </c>
      <c r="D25" s="67">
        <v>0</v>
      </c>
      <c r="E25" s="67">
        <f t="shared" si="9"/>
        <v>0</v>
      </c>
      <c r="F25" s="67">
        <v>0</v>
      </c>
      <c r="G25" s="67">
        <v>0</v>
      </c>
      <c r="H25" s="67">
        <f t="shared" si="7"/>
        <v>0</v>
      </c>
      <c r="I25" s="67">
        <v>0</v>
      </c>
      <c r="J25" s="67">
        <v>0</v>
      </c>
      <c r="K25" s="67">
        <f t="shared" si="8"/>
        <v>0</v>
      </c>
    </row>
    <row r="26" spans="1:11" s="1" customFormat="1" ht="15" customHeight="1" x14ac:dyDescent="0.3">
      <c r="A26" s="9">
        <f t="shared" si="2"/>
        <v>19</v>
      </c>
      <c r="B26" s="11" t="s">
        <v>117</v>
      </c>
      <c r="C26" s="15">
        <f>C22-C23-C25</f>
        <v>3982</v>
      </c>
      <c r="D26" s="15">
        <f>D22-D23-D25</f>
        <v>7138</v>
      </c>
      <c r="E26" s="15">
        <f t="shared" si="9"/>
        <v>11120</v>
      </c>
      <c r="F26" s="15">
        <f>F22-F23-F25</f>
        <v>0</v>
      </c>
      <c r="G26" s="15">
        <f>G22-G23-G25</f>
        <v>0</v>
      </c>
      <c r="H26" s="15">
        <f t="shared" si="7"/>
        <v>0</v>
      </c>
      <c r="I26" s="15">
        <f>I22-I23-I25</f>
        <v>-4932</v>
      </c>
      <c r="J26" s="15">
        <f>J22-J23-J25</f>
        <v>11463</v>
      </c>
      <c r="K26" s="15">
        <f t="shared" si="8"/>
        <v>6531</v>
      </c>
    </row>
  </sheetData>
  <mergeCells count="8">
    <mergeCell ref="I6:K6"/>
    <mergeCell ref="A4:K4"/>
    <mergeCell ref="A1:B1"/>
    <mergeCell ref="A2:K2"/>
    <mergeCell ref="C6:E6"/>
    <mergeCell ref="F6:H6"/>
    <mergeCell ref="B6:B7"/>
    <mergeCell ref="A6:A7"/>
  </mergeCells>
  <phoneticPr fontId="2" type="noConversion"/>
  <printOptions horizontalCentered="1"/>
  <pageMargins left="0.78740157480314965" right="0.78740157480314965" top="0.31496062992125984" bottom="0.59055118110236227" header="0" footer="0.27559055118110237"/>
  <pageSetup paperSize="9" orientation="landscape" r:id="rId1"/>
  <headerFooter alignWithMargins="0">
    <oddFooter xml:space="preserve">&amp;L"A közzétett adatok könyvvizsgálattal nincsenek alátámasztva."  &amp;C
Kelt: 2020. március 10.
.
&amp;R
----------------------------------------------
A szervezet vezetője (képviselője)     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opLeftCell="A28" workbookViewId="0">
      <selection activeCell="G34" sqref="G34"/>
    </sheetView>
  </sheetViews>
  <sheetFormatPr defaultRowHeight="12.5" x14ac:dyDescent="0.25"/>
  <cols>
    <col min="1" max="1" width="6.453125" style="2" customWidth="1"/>
    <col min="2" max="2" width="38" customWidth="1"/>
    <col min="3" max="3" width="17.453125" style="16" customWidth="1"/>
    <col min="4" max="4" width="15.36328125" style="16" customWidth="1"/>
    <col min="5" max="5" width="15.54296875" style="16" customWidth="1"/>
  </cols>
  <sheetData>
    <row r="1" spans="1:11" s="1" customFormat="1" ht="18" x14ac:dyDescent="0.4">
      <c r="A1" s="79" t="s">
        <v>48</v>
      </c>
      <c r="B1" s="79"/>
      <c r="C1" s="30"/>
      <c r="D1" s="30"/>
      <c r="E1" s="31">
        <v>2019</v>
      </c>
    </row>
    <row r="2" spans="1:11" s="6" customFormat="1" ht="15.5" x14ac:dyDescent="0.35">
      <c r="A2" s="79" t="s">
        <v>17</v>
      </c>
      <c r="B2" s="79"/>
      <c r="C2" s="79"/>
      <c r="D2" s="79"/>
      <c r="E2" s="79"/>
    </row>
    <row r="3" spans="1:11" s="6" customFormat="1" ht="15.5" x14ac:dyDescent="0.35">
      <c r="A3" s="79" t="s">
        <v>129</v>
      </c>
      <c r="B3" s="79"/>
      <c r="C3" s="79"/>
      <c r="D3" s="79"/>
      <c r="E3" s="79"/>
    </row>
    <row r="5" spans="1:11" ht="37.5" customHeight="1" x14ac:dyDescent="0.25">
      <c r="A5" s="82" t="s">
        <v>16</v>
      </c>
      <c r="B5" s="82"/>
      <c r="C5" s="82"/>
      <c r="D5" s="82"/>
      <c r="E5" s="82"/>
    </row>
    <row r="6" spans="1:11" x14ac:dyDescent="0.25">
      <c r="F6" s="75"/>
      <c r="G6" s="75"/>
      <c r="H6" s="75"/>
      <c r="I6" s="75"/>
      <c r="J6" s="75"/>
      <c r="K6" s="75"/>
    </row>
    <row r="7" spans="1:11" s="5" customFormat="1" ht="18" customHeight="1" x14ac:dyDescent="0.25">
      <c r="A7" s="81" t="s">
        <v>14</v>
      </c>
      <c r="B7" s="80" t="s">
        <v>0</v>
      </c>
      <c r="C7" s="77" t="s">
        <v>1</v>
      </c>
      <c r="D7" s="89" t="s">
        <v>13</v>
      </c>
      <c r="E7" s="77" t="s">
        <v>5</v>
      </c>
      <c r="F7" s="71"/>
      <c r="G7" s="71"/>
      <c r="H7" s="71"/>
      <c r="I7" s="71"/>
      <c r="J7" s="71"/>
      <c r="K7" s="71"/>
    </row>
    <row r="8" spans="1:11" s="5" customFormat="1" ht="18" customHeight="1" x14ac:dyDescent="0.25">
      <c r="A8" s="81"/>
      <c r="B8" s="80"/>
      <c r="C8" s="77"/>
      <c r="D8" s="90"/>
      <c r="E8" s="77"/>
      <c r="F8" s="71"/>
      <c r="G8" s="71"/>
      <c r="H8" s="71"/>
      <c r="I8" s="71"/>
      <c r="J8" s="71"/>
      <c r="K8" s="71"/>
    </row>
    <row r="9" spans="1:11" s="5" customFormat="1" ht="20.149999999999999" customHeight="1" x14ac:dyDescent="0.25">
      <c r="A9" s="7" t="s">
        <v>18</v>
      </c>
      <c r="B9" s="8" t="s">
        <v>19</v>
      </c>
      <c r="C9" s="13" t="s">
        <v>20</v>
      </c>
      <c r="D9" s="13" t="s">
        <v>21</v>
      </c>
      <c r="E9" s="13" t="s">
        <v>22</v>
      </c>
      <c r="F9" s="71"/>
      <c r="G9" s="71"/>
      <c r="H9" s="71"/>
      <c r="I9" s="71"/>
      <c r="J9" s="71"/>
      <c r="K9" s="71"/>
    </row>
    <row r="10" spans="1:11" s="5" customFormat="1" ht="20.149999999999999" customHeight="1" x14ac:dyDescent="0.25">
      <c r="A10" s="8">
        <v>1</v>
      </c>
      <c r="B10" s="18" t="s">
        <v>23</v>
      </c>
      <c r="C10" s="19">
        <f>+C11+C12+C13+C14</f>
        <v>50820</v>
      </c>
      <c r="D10" s="19">
        <f>D11+D12+D13+D14</f>
        <v>0</v>
      </c>
      <c r="E10" s="19">
        <f>E11+E12+E13+E14</f>
        <v>48547</v>
      </c>
      <c r="F10" s="71"/>
      <c r="G10" s="71"/>
      <c r="H10" s="71"/>
      <c r="I10" s="71"/>
      <c r="J10" s="71"/>
      <c r="K10" s="71"/>
    </row>
    <row r="11" spans="1:11" s="4" customFormat="1" ht="20.149999999999999" customHeight="1" x14ac:dyDescent="0.25">
      <c r="A11" s="20">
        <f>A10+1</f>
        <v>2</v>
      </c>
      <c r="B11" s="21" t="s">
        <v>24</v>
      </c>
      <c r="C11" s="22">
        <v>0</v>
      </c>
      <c r="D11" s="22">
        <v>0</v>
      </c>
      <c r="E11" s="22">
        <v>0</v>
      </c>
      <c r="F11" s="68"/>
      <c r="G11" s="68"/>
      <c r="H11" s="68"/>
      <c r="I11" s="68"/>
      <c r="J11" s="68"/>
      <c r="K11" s="68"/>
    </row>
    <row r="12" spans="1:11" s="4" customFormat="1" ht="20.149999999999999" customHeight="1" x14ac:dyDescent="0.25">
      <c r="A12" s="20">
        <f t="shared" ref="A12:A34" si="0">A11+1</f>
        <v>3</v>
      </c>
      <c r="B12" s="21" t="s">
        <v>25</v>
      </c>
      <c r="C12" s="22">
        <f>50820-290</f>
        <v>50530</v>
      </c>
      <c r="D12" s="22">
        <v>0</v>
      </c>
      <c r="E12" s="22">
        <f>48547-51</f>
        <v>48496</v>
      </c>
      <c r="F12" s="68"/>
      <c r="G12" s="68"/>
      <c r="H12" s="68"/>
      <c r="I12" s="68"/>
      <c r="J12" s="68"/>
      <c r="K12" s="68"/>
    </row>
    <row r="13" spans="1:11" s="4" customFormat="1" ht="20.149999999999999" customHeight="1" x14ac:dyDescent="0.25">
      <c r="A13" s="20">
        <f t="shared" si="0"/>
        <v>4</v>
      </c>
      <c r="B13" s="21" t="s">
        <v>26</v>
      </c>
      <c r="C13" s="22">
        <v>290</v>
      </c>
      <c r="D13" s="22">
        <v>0</v>
      </c>
      <c r="E13" s="22">
        <v>51</v>
      </c>
      <c r="F13" s="68"/>
      <c r="G13" s="68"/>
      <c r="H13" s="68"/>
      <c r="I13" s="68"/>
      <c r="J13" s="68"/>
      <c r="K13" s="68"/>
    </row>
    <row r="14" spans="1:11" s="4" customFormat="1" ht="20.149999999999999" customHeight="1" x14ac:dyDescent="0.25">
      <c r="A14" s="20">
        <f t="shared" si="0"/>
        <v>5</v>
      </c>
      <c r="B14" s="21" t="s">
        <v>27</v>
      </c>
      <c r="C14" s="22">
        <v>0</v>
      </c>
      <c r="D14" s="22">
        <v>0</v>
      </c>
      <c r="E14" s="22">
        <v>0</v>
      </c>
      <c r="F14" s="68"/>
      <c r="G14" s="68"/>
      <c r="H14" s="68"/>
      <c r="I14" s="68"/>
      <c r="J14" s="68"/>
      <c r="K14" s="68"/>
    </row>
    <row r="15" spans="1:11" s="5" customFormat="1" ht="20.149999999999999" customHeight="1" x14ac:dyDescent="0.25">
      <c r="A15" s="8">
        <f t="shared" si="0"/>
        <v>6</v>
      </c>
      <c r="B15" s="18" t="s">
        <v>28</v>
      </c>
      <c r="C15" s="19">
        <f>C16+C17+C18+C19</f>
        <v>56675</v>
      </c>
      <c r="D15" s="19">
        <f>D16+D17+D18+D19</f>
        <v>0</v>
      </c>
      <c r="E15" s="19">
        <f>E16+E17+E18+E19</f>
        <v>64740</v>
      </c>
      <c r="F15" s="71"/>
      <c r="G15" s="71"/>
      <c r="H15" s="71"/>
      <c r="I15" s="71"/>
      <c r="J15" s="71"/>
      <c r="K15" s="71"/>
    </row>
    <row r="16" spans="1:11" s="4" customFormat="1" ht="20.149999999999999" customHeight="1" x14ac:dyDescent="0.25">
      <c r="A16" s="20">
        <f t="shared" si="0"/>
        <v>7</v>
      </c>
      <c r="B16" s="21" t="s">
        <v>29</v>
      </c>
      <c r="C16" s="22">
        <v>0</v>
      </c>
      <c r="D16" s="22">
        <v>0</v>
      </c>
      <c r="E16" s="22">
        <v>0</v>
      </c>
      <c r="F16" s="68"/>
      <c r="G16" s="68"/>
      <c r="H16" s="68"/>
      <c r="I16" s="68"/>
      <c r="J16" s="68"/>
      <c r="K16" s="68"/>
    </row>
    <row r="17" spans="1:13" s="4" customFormat="1" ht="20.149999999999999" customHeight="1" x14ac:dyDescent="0.25">
      <c r="A17" s="20">
        <f t="shared" si="0"/>
        <v>8</v>
      </c>
      <c r="B17" s="21" t="s">
        <v>30</v>
      </c>
      <c r="C17" s="22">
        <f>9647+33+3710+140</f>
        <v>13530</v>
      </c>
      <c r="D17" s="22">
        <v>0</v>
      </c>
      <c r="E17" s="22">
        <f>9615+10+26</f>
        <v>9651</v>
      </c>
      <c r="F17" s="68"/>
      <c r="G17" s="68"/>
      <c r="H17" s="68"/>
      <c r="I17" s="68"/>
      <c r="J17" s="68"/>
      <c r="K17" s="68"/>
    </row>
    <row r="18" spans="1:13" s="4" customFormat="1" ht="20.149999999999999" customHeight="1" x14ac:dyDescent="0.25">
      <c r="A18" s="20">
        <f t="shared" si="0"/>
        <v>9</v>
      </c>
      <c r="B18" s="21" t="s">
        <v>31</v>
      </c>
      <c r="C18" s="22">
        <v>0</v>
      </c>
      <c r="D18" s="22">
        <v>0</v>
      </c>
      <c r="E18" s="22">
        <v>0</v>
      </c>
      <c r="F18" s="68"/>
      <c r="G18" s="68"/>
      <c r="H18" s="68"/>
      <c r="I18" s="68"/>
      <c r="J18" s="68"/>
      <c r="K18" s="68"/>
    </row>
    <row r="19" spans="1:13" s="4" customFormat="1" ht="20.149999999999999" customHeight="1" x14ac:dyDescent="0.25">
      <c r="A19" s="20">
        <f t="shared" si="0"/>
        <v>10</v>
      </c>
      <c r="B19" s="21" t="s">
        <v>32</v>
      </c>
      <c r="C19" s="22">
        <v>43145</v>
      </c>
      <c r="D19" s="22">
        <v>0</v>
      </c>
      <c r="E19" s="22">
        <v>55089</v>
      </c>
      <c r="F19" s="68"/>
      <c r="G19" s="68"/>
      <c r="H19" s="68"/>
      <c r="I19" s="68"/>
      <c r="J19" s="68"/>
      <c r="K19" s="68"/>
    </row>
    <row r="20" spans="1:13" s="5" customFormat="1" ht="20.149999999999999" customHeight="1" x14ac:dyDescent="0.25">
      <c r="A20" s="8">
        <f t="shared" si="0"/>
        <v>11</v>
      </c>
      <c r="B20" s="18" t="s">
        <v>33</v>
      </c>
      <c r="C20" s="19">
        <v>6</v>
      </c>
      <c r="D20" s="19">
        <v>0</v>
      </c>
      <c r="E20" s="19">
        <v>0</v>
      </c>
      <c r="F20" s="71"/>
      <c r="G20" s="71"/>
      <c r="H20" s="71"/>
      <c r="I20" s="71"/>
      <c r="J20" s="71"/>
      <c r="K20" s="71"/>
    </row>
    <row r="21" spans="1:13" s="5" customFormat="1" ht="20.149999999999999" customHeight="1" x14ac:dyDescent="0.25">
      <c r="A21" s="8">
        <f t="shared" si="0"/>
        <v>12</v>
      </c>
      <c r="B21" s="18" t="s">
        <v>34</v>
      </c>
      <c r="C21" s="19">
        <f>+C10+C15+C20</f>
        <v>107501</v>
      </c>
      <c r="D21" s="19">
        <f>D10+D15+D20</f>
        <v>0</v>
      </c>
      <c r="E21" s="19">
        <f>E10+E15+E20</f>
        <v>113287</v>
      </c>
    </row>
    <row r="22" spans="1:13" s="5" customFormat="1" ht="20.149999999999999" customHeight="1" x14ac:dyDescent="0.25">
      <c r="A22" s="8">
        <f t="shared" si="0"/>
        <v>13</v>
      </c>
      <c r="B22" s="18" t="s">
        <v>35</v>
      </c>
      <c r="C22" s="19">
        <f>C23+C24+C25+C26+C27+C28</f>
        <v>101991</v>
      </c>
      <c r="D22" s="19">
        <f>D23+D24+D25+D26+D27+D28</f>
        <v>0</v>
      </c>
      <c r="E22" s="19">
        <f>E23+E24+E25+E26+E27+E28</f>
        <v>108522</v>
      </c>
    </row>
    <row r="23" spans="1:13" s="4" customFormat="1" ht="20.149999999999999" customHeight="1" x14ac:dyDescent="0.25">
      <c r="A23" s="20">
        <f t="shared" si="0"/>
        <v>14</v>
      </c>
      <c r="B23" s="21" t="s">
        <v>36</v>
      </c>
      <c r="C23" s="22">
        <v>14355</v>
      </c>
      <c r="D23" s="22">
        <v>0</v>
      </c>
      <c r="E23" s="22">
        <v>14355</v>
      </c>
    </row>
    <row r="24" spans="1:13" s="4" customFormat="1" ht="20.149999999999999" customHeight="1" x14ac:dyDescent="0.25">
      <c r="A24" s="20">
        <f t="shared" si="0"/>
        <v>15</v>
      </c>
      <c r="B24" s="21" t="s">
        <v>37</v>
      </c>
      <c r="C24" s="22">
        <v>76262</v>
      </c>
      <c r="D24" s="22">
        <v>0</v>
      </c>
      <c r="E24" s="22">
        <v>87382</v>
      </c>
    </row>
    <row r="25" spans="1:13" s="4" customFormat="1" ht="20.149999999999999" customHeight="1" x14ac:dyDescent="0.25">
      <c r="A25" s="20">
        <f t="shared" si="0"/>
        <v>16</v>
      </c>
      <c r="B25" s="21" t="s">
        <v>38</v>
      </c>
      <c r="C25" s="22">
        <v>254</v>
      </c>
      <c r="D25" s="22">
        <v>0</v>
      </c>
      <c r="E25" s="22">
        <v>254</v>
      </c>
      <c r="F25" s="68"/>
      <c r="G25" s="68"/>
      <c r="H25" s="68"/>
      <c r="I25" s="68"/>
      <c r="J25" s="68"/>
      <c r="K25" s="68"/>
      <c r="L25" s="68"/>
      <c r="M25" s="68"/>
    </row>
    <row r="26" spans="1:13" s="25" customFormat="1" ht="20.149999999999999" customHeight="1" x14ac:dyDescent="0.25">
      <c r="A26" s="20">
        <f t="shared" si="0"/>
        <v>17</v>
      </c>
      <c r="B26" s="23" t="s">
        <v>39</v>
      </c>
      <c r="C26" s="24">
        <v>0</v>
      </c>
      <c r="D26" s="24">
        <v>0</v>
      </c>
      <c r="E26" s="24">
        <v>0</v>
      </c>
      <c r="F26" s="69"/>
      <c r="G26" s="69"/>
      <c r="H26" s="69"/>
      <c r="I26" s="69"/>
      <c r="J26" s="69"/>
      <c r="K26" s="69"/>
      <c r="L26" s="69"/>
      <c r="M26" s="69"/>
    </row>
    <row r="27" spans="1:13" s="25" customFormat="1" ht="20.149999999999999" customHeight="1" x14ac:dyDescent="0.25">
      <c r="A27" s="20">
        <f t="shared" si="0"/>
        <v>18</v>
      </c>
      <c r="B27" s="23" t="s">
        <v>46</v>
      </c>
      <c r="C27" s="24">
        <f>+eredménykimut!C26</f>
        <v>3982</v>
      </c>
      <c r="D27" s="24">
        <v>0</v>
      </c>
      <c r="E27" s="24">
        <f>eredménykimut!I26</f>
        <v>-4932</v>
      </c>
      <c r="F27" s="69"/>
      <c r="G27" s="69"/>
      <c r="H27" s="70"/>
      <c r="I27" s="69"/>
      <c r="J27" s="69"/>
      <c r="K27" s="69"/>
      <c r="L27" s="69"/>
      <c r="M27" s="69"/>
    </row>
    <row r="28" spans="1:13" s="25" customFormat="1" ht="20.149999999999999" customHeight="1" x14ac:dyDescent="0.25">
      <c r="A28" s="20">
        <f t="shared" si="0"/>
        <v>19</v>
      </c>
      <c r="B28" s="29" t="s">
        <v>47</v>
      </c>
      <c r="C28" s="35">
        <f>+eredménykimut!D26</f>
        <v>7138</v>
      </c>
      <c r="D28" s="24">
        <v>0</v>
      </c>
      <c r="E28" s="35">
        <f>eredménykimut!J26</f>
        <v>11463</v>
      </c>
      <c r="F28" s="69"/>
      <c r="G28" s="69"/>
      <c r="H28" s="69"/>
      <c r="I28" s="69"/>
      <c r="J28" s="69"/>
      <c r="K28" s="69"/>
      <c r="L28" s="69"/>
      <c r="M28" s="69"/>
    </row>
    <row r="29" spans="1:13" s="5" customFormat="1" ht="20.149999999999999" customHeight="1" x14ac:dyDescent="0.25">
      <c r="A29" s="8">
        <f t="shared" si="0"/>
        <v>20</v>
      </c>
      <c r="B29" s="18" t="s">
        <v>40</v>
      </c>
      <c r="C29" s="19"/>
      <c r="D29" s="19">
        <v>0</v>
      </c>
      <c r="E29" s="19">
        <v>0</v>
      </c>
      <c r="F29" s="71"/>
      <c r="G29" s="71"/>
      <c r="H29" s="71"/>
      <c r="I29" s="71"/>
      <c r="J29" s="71"/>
      <c r="K29" s="71"/>
      <c r="L29" s="71"/>
      <c r="M29" s="71"/>
    </row>
    <row r="30" spans="1:13" s="5" customFormat="1" ht="20.149999999999999" customHeight="1" x14ac:dyDescent="0.25">
      <c r="A30" s="8">
        <f t="shared" si="0"/>
        <v>21</v>
      </c>
      <c r="B30" s="18" t="s">
        <v>41</v>
      </c>
      <c r="C30" s="19">
        <f>C31+C32</f>
        <v>4844</v>
      </c>
      <c r="D30" s="19">
        <f>D31+D32</f>
        <v>0</v>
      </c>
      <c r="E30" s="19">
        <f>E31+E32</f>
        <v>4145</v>
      </c>
      <c r="F30" s="71"/>
      <c r="G30" s="71"/>
      <c r="H30" s="71"/>
      <c r="I30" s="71"/>
      <c r="J30" s="71"/>
      <c r="K30" s="71"/>
      <c r="L30" s="71"/>
      <c r="M30" s="71"/>
    </row>
    <row r="31" spans="1:13" s="25" customFormat="1" ht="20.149999999999999" customHeight="1" x14ac:dyDescent="0.25">
      <c r="A31" s="20">
        <f t="shared" si="0"/>
        <v>22</v>
      </c>
      <c r="B31" s="23" t="s">
        <v>42</v>
      </c>
      <c r="C31" s="24">
        <v>1653</v>
      </c>
      <c r="D31" s="24">
        <v>0</v>
      </c>
      <c r="E31" s="24">
        <f>1653-533</f>
        <v>1120</v>
      </c>
      <c r="F31" s="69"/>
      <c r="G31" s="69"/>
      <c r="H31" s="69"/>
      <c r="I31" s="69"/>
      <c r="J31" s="69"/>
      <c r="K31" s="69"/>
      <c r="L31" s="69"/>
      <c r="M31" s="69"/>
    </row>
    <row r="32" spans="1:13" s="25" customFormat="1" ht="20.149999999999999" customHeight="1" x14ac:dyDescent="0.25">
      <c r="A32" s="20">
        <f t="shared" si="0"/>
        <v>23</v>
      </c>
      <c r="B32" s="23" t="s">
        <v>43</v>
      </c>
      <c r="C32" s="24">
        <v>3191</v>
      </c>
      <c r="D32" s="24">
        <v>0</v>
      </c>
      <c r="E32" s="24">
        <f>533+293+421+16+19+26+595+338+285+325+174</f>
        <v>3025</v>
      </c>
      <c r="F32" s="72"/>
      <c r="G32" s="69"/>
      <c r="H32" s="69"/>
      <c r="I32" s="68"/>
      <c r="J32" s="69"/>
      <c r="K32" s="69"/>
      <c r="L32" s="69"/>
      <c r="M32" s="69"/>
    </row>
    <row r="33" spans="1:13" s="5" customFormat="1" ht="20.149999999999999" customHeight="1" x14ac:dyDescent="0.25">
      <c r="A33" s="8">
        <f t="shared" si="0"/>
        <v>24</v>
      </c>
      <c r="B33" s="18" t="s">
        <v>44</v>
      </c>
      <c r="C33" s="19">
        <v>666</v>
      </c>
      <c r="D33" s="19">
        <v>0</v>
      </c>
      <c r="E33" s="19">
        <v>620</v>
      </c>
      <c r="F33" s="71"/>
      <c r="G33" s="71"/>
      <c r="H33" s="71"/>
      <c r="I33" s="71"/>
      <c r="J33" s="71"/>
      <c r="K33" s="71"/>
      <c r="L33" s="71"/>
      <c r="M33" s="71"/>
    </row>
    <row r="34" spans="1:13" s="5" customFormat="1" ht="20.149999999999999" customHeight="1" x14ac:dyDescent="0.25">
      <c r="A34" s="8">
        <f t="shared" si="0"/>
        <v>25</v>
      </c>
      <c r="B34" s="18" t="s">
        <v>45</v>
      </c>
      <c r="C34" s="19">
        <f>C22+C29+C30+C33</f>
        <v>107501</v>
      </c>
      <c r="D34" s="19">
        <f>D22+D29+D30+D33</f>
        <v>0</v>
      </c>
      <c r="E34" s="19">
        <f>E22+E29+E30+E33</f>
        <v>113287</v>
      </c>
      <c r="F34" s="76"/>
      <c r="G34" s="71"/>
      <c r="H34" s="71"/>
      <c r="I34" s="71"/>
      <c r="J34" s="71"/>
      <c r="K34" s="71"/>
      <c r="L34" s="71"/>
      <c r="M34" s="71"/>
    </row>
    <row r="35" spans="1:13" s="5" customFormat="1" ht="11.25" customHeight="1" x14ac:dyDescent="0.25">
      <c r="A35" s="32"/>
      <c r="B35" s="33"/>
      <c r="C35" s="34"/>
      <c r="D35" s="34"/>
      <c r="E35" s="34"/>
      <c r="F35" s="71"/>
      <c r="G35" s="71"/>
      <c r="H35" s="71"/>
      <c r="I35" s="71"/>
      <c r="J35" s="71"/>
      <c r="K35" s="71"/>
      <c r="L35" s="71"/>
      <c r="M35" s="71"/>
    </row>
    <row r="36" spans="1:13" s="27" customFormat="1" x14ac:dyDescent="0.25">
      <c r="A36" s="85" t="s">
        <v>138</v>
      </c>
      <c r="B36" s="86"/>
      <c r="C36" s="28"/>
      <c r="D36" s="87"/>
      <c r="E36" s="83"/>
      <c r="F36" s="73"/>
      <c r="G36" s="74"/>
      <c r="H36" s="73"/>
      <c r="I36" s="73"/>
      <c r="J36" s="73"/>
      <c r="K36" s="73"/>
      <c r="L36" s="73"/>
      <c r="M36" s="73"/>
    </row>
    <row r="37" spans="1:13" s="27" customFormat="1" x14ac:dyDescent="0.25">
      <c r="A37" s="26"/>
      <c r="C37" s="28"/>
      <c r="D37" s="87" t="s">
        <v>49</v>
      </c>
      <c r="E37" s="83"/>
      <c r="F37" s="73"/>
      <c r="G37" s="73"/>
      <c r="H37" s="73"/>
      <c r="I37" s="73"/>
      <c r="J37" s="73"/>
      <c r="K37" s="73"/>
      <c r="L37" s="73"/>
      <c r="M37" s="73"/>
    </row>
    <row r="38" spans="1:13" s="27" customFormat="1" x14ac:dyDescent="0.25">
      <c r="A38" s="26"/>
      <c r="C38" s="28"/>
      <c r="D38" s="88" t="s">
        <v>134</v>
      </c>
      <c r="E38" s="83"/>
    </row>
    <row r="39" spans="1:13" s="27" customFormat="1" x14ac:dyDescent="0.25">
      <c r="A39" s="26"/>
      <c r="C39" s="28"/>
      <c r="D39" s="84" t="s">
        <v>135</v>
      </c>
      <c r="E39" s="84"/>
    </row>
    <row r="40" spans="1:13" s="27" customFormat="1" x14ac:dyDescent="0.25">
      <c r="A40" s="26"/>
      <c r="C40" s="28"/>
      <c r="D40" s="83" t="s">
        <v>50</v>
      </c>
      <c r="E40" s="83"/>
    </row>
    <row r="41" spans="1:13" s="27" customFormat="1" x14ac:dyDescent="0.25">
      <c r="A41" s="26"/>
      <c r="C41" s="28"/>
      <c r="D41" s="28"/>
      <c r="E41" s="28"/>
    </row>
    <row r="42" spans="1:13" s="27" customFormat="1" x14ac:dyDescent="0.25">
      <c r="A42" s="26"/>
      <c r="C42" s="28"/>
      <c r="D42" s="28"/>
      <c r="E42" s="28"/>
    </row>
    <row r="43" spans="1:13" s="27" customFormat="1" x14ac:dyDescent="0.25">
      <c r="A43" s="26"/>
      <c r="C43" s="28"/>
      <c r="D43" s="28"/>
      <c r="E43" s="28"/>
    </row>
    <row r="44" spans="1:13" s="27" customFormat="1" x14ac:dyDescent="0.25">
      <c r="A44" s="26"/>
      <c r="C44" s="28"/>
      <c r="D44" s="28"/>
      <c r="E44" s="28"/>
    </row>
    <row r="45" spans="1:13" s="27" customFormat="1" x14ac:dyDescent="0.25">
      <c r="A45" s="26"/>
      <c r="C45" s="28"/>
      <c r="D45" s="28"/>
      <c r="E45" s="28"/>
    </row>
    <row r="46" spans="1:13" s="27" customFormat="1" x14ac:dyDescent="0.25">
      <c r="A46" s="26"/>
      <c r="C46" s="28"/>
      <c r="D46" s="28"/>
      <c r="E46" s="28"/>
    </row>
    <row r="47" spans="1:13" s="27" customFormat="1" x14ac:dyDescent="0.25">
      <c r="A47" s="26"/>
      <c r="C47" s="28"/>
      <c r="D47" s="28"/>
      <c r="E47" s="28"/>
    </row>
  </sheetData>
  <mergeCells count="15">
    <mergeCell ref="A1:B1"/>
    <mergeCell ref="A7:A8"/>
    <mergeCell ref="B7:B8"/>
    <mergeCell ref="C7:C8"/>
    <mergeCell ref="D7:D8"/>
    <mergeCell ref="E7:E8"/>
    <mergeCell ref="A5:E5"/>
    <mergeCell ref="A2:E2"/>
    <mergeCell ref="A3:E3"/>
    <mergeCell ref="D40:E40"/>
    <mergeCell ref="D39:E39"/>
    <mergeCell ref="A36:B36"/>
    <mergeCell ref="D36:E36"/>
    <mergeCell ref="D37:E37"/>
    <mergeCell ref="D38:E38"/>
  </mergeCells>
  <phoneticPr fontId="2" type="noConversion"/>
  <printOptions horizontalCentered="1"/>
  <pageMargins left="0.39370078740157483" right="0.39370078740157483" top="0.78740157480314965" bottom="0.98425196850393704" header="0.51181102362204722" footer="0.51181102362204722"/>
  <pageSetup paperSize="9" orientation="portrait" r:id="rId1"/>
  <headerFooter alignWithMargins="0">
    <oddFooter>&amp;L"A közzétett adatok könyvvizsgálattal nincsenek alátámasztva"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workbookViewId="0">
      <selection activeCell="B13" sqref="B13"/>
    </sheetView>
  </sheetViews>
  <sheetFormatPr defaultRowHeight="12.5" x14ac:dyDescent="0.25"/>
  <cols>
    <col min="1" max="1" width="27.08984375" customWidth="1"/>
    <col min="3" max="3" width="21.08984375" customWidth="1"/>
  </cols>
  <sheetData>
    <row r="2" spans="1:5" ht="13" x14ac:dyDescent="0.3">
      <c r="A2" s="1" t="s">
        <v>119</v>
      </c>
      <c r="B2" s="1">
        <f>B3/B4</f>
        <v>26.181423401688782</v>
      </c>
    </row>
    <row r="3" spans="1:5" ht="13.25" x14ac:dyDescent="0.25">
      <c r="A3" t="s">
        <v>118</v>
      </c>
      <c r="B3" s="16">
        <f>+mérleg!E22</f>
        <v>108522</v>
      </c>
    </row>
    <row r="4" spans="1:5" ht="13.25" x14ac:dyDescent="0.25">
      <c r="B4" s="16">
        <f>+mérleg!E30</f>
        <v>4145</v>
      </c>
    </row>
    <row r="7" spans="1:5" ht="13" x14ac:dyDescent="0.3">
      <c r="A7" s="1" t="s">
        <v>120</v>
      </c>
      <c r="B7" s="1">
        <f>B8/B9</f>
        <v>21.401652892561984</v>
      </c>
      <c r="C7" t="s">
        <v>136</v>
      </c>
      <c r="D7" s="1">
        <f>D8/D9</f>
        <v>18.932892561983472</v>
      </c>
      <c r="E7" t="s">
        <v>125</v>
      </c>
    </row>
    <row r="8" spans="1:5" ht="13.25" x14ac:dyDescent="0.25">
      <c r="A8" t="s">
        <v>121</v>
      </c>
      <c r="B8" s="16">
        <f>+mérleg!E15</f>
        <v>64740</v>
      </c>
      <c r="D8" s="16">
        <f>+mérleg!E15-7468</f>
        <v>57272</v>
      </c>
    </row>
    <row r="9" spans="1:5" ht="13.25" x14ac:dyDescent="0.25">
      <c r="B9" s="16">
        <f>+mérleg!E32</f>
        <v>3025</v>
      </c>
      <c r="D9" s="16">
        <f>+mérleg!E32</f>
        <v>3025</v>
      </c>
    </row>
    <row r="12" spans="1:5" ht="13" x14ac:dyDescent="0.3">
      <c r="A12" s="1" t="s">
        <v>122</v>
      </c>
      <c r="B12" s="66">
        <f>B13/B14</f>
        <v>0.95793868669838556</v>
      </c>
      <c r="C12" t="s">
        <v>124</v>
      </c>
    </row>
    <row r="13" spans="1:5" ht="13.25" x14ac:dyDescent="0.25">
      <c r="A13" t="s">
        <v>123</v>
      </c>
      <c r="B13" s="16">
        <f>+mérleg!E22</f>
        <v>108522</v>
      </c>
    </row>
    <row r="14" spans="1:5" ht="13.25" x14ac:dyDescent="0.25">
      <c r="B14" s="16">
        <f>+mérleg!E34</f>
        <v>113287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opLeftCell="A43" workbookViewId="0">
      <selection activeCell="G24" sqref="G24:H29"/>
    </sheetView>
  </sheetViews>
  <sheetFormatPr defaultRowHeight="12.5" x14ac:dyDescent="0.25"/>
  <cols>
    <col min="1" max="1" width="16.54296875" style="40" customWidth="1"/>
    <col min="2" max="2" width="9.08984375" style="40" bestFit="1" customWidth="1"/>
    <col min="3" max="3" width="12.36328125" style="16" customWidth="1"/>
    <col min="4" max="4" width="12.08984375" style="40" customWidth="1"/>
    <col min="5" max="5" width="12" style="16" customWidth="1"/>
    <col min="6" max="6" width="10.36328125" style="40" customWidth="1"/>
    <col min="7" max="7" width="12.08984375" style="40" customWidth="1"/>
    <col min="8" max="8" width="11.08984375" style="40" customWidth="1"/>
    <col min="9" max="9" width="12.36328125" style="40" customWidth="1"/>
    <col min="10" max="10" width="14" style="40" bestFit="1" customWidth="1"/>
    <col min="11" max="11" width="11" style="40" customWidth="1"/>
    <col min="12" max="12" width="11.453125" style="40" customWidth="1"/>
    <col min="13" max="13" width="9.08984375" style="40"/>
  </cols>
  <sheetData>
    <row r="1" spans="1:13" ht="13" x14ac:dyDescent="0.3">
      <c r="A1" s="91" t="s">
        <v>137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3" ht="13" x14ac:dyDescent="0.3">
      <c r="A2" s="39"/>
      <c r="B2" s="39"/>
      <c r="C2" s="41"/>
      <c r="D2" s="39"/>
      <c r="E2" s="41"/>
      <c r="F2" s="39"/>
      <c r="G2" s="39"/>
      <c r="H2" s="39"/>
      <c r="I2" s="39"/>
      <c r="J2" s="39"/>
      <c r="K2" s="39"/>
    </row>
    <row r="3" spans="1:13" x14ac:dyDescent="0.25">
      <c r="A3" s="92" t="s">
        <v>51</v>
      </c>
      <c r="B3" s="92"/>
      <c r="C3" s="92"/>
      <c r="D3" s="92"/>
      <c r="E3" s="92"/>
      <c r="F3" s="92"/>
      <c r="G3" s="92"/>
      <c r="H3" s="92"/>
      <c r="I3" s="93" t="s">
        <v>52</v>
      </c>
      <c r="J3" s="93"/>
      <c r="K3" s="93"/>
      <c r="L3" s="58" t="s">
        <v>103</v>
      </c>
    </row>
    <row r="4" spans="1:13" s="2" customFormat="1" ht="24" customHeight="1" x14ac:dyDescent="0.25">
      <c r="A4" s="42" t="s">
        <v>53</v>
      </c>
      <c r="B4" s="42" t="s">
        <v>54</v>
      </c>
      <c r="C4" s="43" t="s">
        <v>55</v>
      </c>
      <c r="D4" s="42" t="s">
        <v>56</v>
      </c>
      <c r="E4" s="64" t="s">
        <v>104</v>
      </c>
      <c r="F4" s="42" t="s">
        <v>58</v>
      </c>
      <c r="G4" s="42" t="s">
        <v>59</v>
      </c>
      <c r="H4" s="42" t="s">
        <v>60</v>
      </c>
      <c r="I4" s="44" t="s">
        <v>61</v>
      </c>
      <c r="J4" s="57" t="s">
        <v>102</v>
      </c>
      <c r="K4" s="42" t="s">
        <v>105</v>
      </c>
      <c r="L4" s="44" t="s">
        <v>63</v>
      </c>
      <c r="M4" s="42"/>
    </row>
    <row r="5" spans="1:13" s="16" customFormat="1" x14ac:dyDescent="0.25">
      <c r="A5" s="16">
        <v>3745163</v>
      </c>
      <c r="B5" s="16">
        <f>1037528+144200</f>
        <v>1181728</v>
      </c>
      <c r="C5" s="16">
        <v>2347565</v>
      </c>
      <c r="J5" s="16">
        <v>123600</v>
      </c>
      <c r="K5" s="16">
        <f>10056+5792+5245</f>
        <v>21093</v>
      </c>
    </row>
    <row r="6" spans="1:13" s="16" customFormat="1" x14ac:dyDescent="0.25"/>
    <row r="7" spans="1:13" s="16" customFormat="1" x14ac:dyDescent="0.25"/>
    <row r="8" spans="1:13" s="16" customFormat="1" x14ac:dyDescent="0.25"/>
    <row r="9" spans="1:13" s="16" customFormat="1" ht="13" x14ac:dyDescent="0.3">
      <c r="A9" s="45">
        <f>SUM(A5:A8)</f>
        <v>3745163</v>
      </c>
      <c r="B9" s="45">
        <f>SUM(B5:B8)</f>
        <v>1181728</v>
      </c>
      <c r="C9" s="45">
        <f t="shared" ref="C9:L9" si="0">SUM(C5:C8)</f>
        <v>2347565</v>
      </c>
      <c r="D9" s="45">
        <f t="shared" si="0"/>
        <v>0</v>
      </c>
      <c r="E9" s="45">
        <f t="shared" si="0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123600</v>
      </c>
      <c r="K9" s="45">
        <f t="shared" si="0"/>
        <v>21093</v>
      </c>
      <c r="L9" s="45">
        <f t="shared" si="0"/>
        <v>0</v>
      </c>
    </row>
    <row r="10" spans="1:13" s="16" customFormat="1" ht="13" x14ac:dyDescent="0.3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3" s="16" customFormat="1" ht="13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3" ht="13" x14ac:dyDescent="0.3">
      <c r="A12" s="46"/>
      <c r="B12" s="46"/>
      <c r="C12" s="45"/>
      <c r="D12" s="46"/>
      <c r="E12" s="45"/>
      <c r="F12" s="46"/>
      <c r="G12" s="46"/>
      <c r="H12" s="46"/>
      <c r="I12" s="46"/>
      <c r="J12" s="46"/>
      <c r="K12" s="46"/>
      <c r="L12" s="46"/>
    </row>
    <row r="13" spans="1:13" ht="16" x14ac:dyDescent="0.6">
      <c r="A13" s="59" t="s">
        <v>64</v>
      </c>
      <c r="B13" s="46"/>
      <c r="C13" s="28">
        <v>12445385</v>
      </c>
      <c r="D13" s="40" t="s">
        <v>65</v>
      </c>
      <c r="K13" s="46"/>
    </row>
    <row r="14" spans="1:13" ht="13" x14ac:dyDescent="0.3">
      <c r="A14" s="46"/>
      <c r="B14" s="46"/>
      <c r="C14" s="28">
        <v>0</v>
      </c>
      <c r="D14" s="40" t="s">
        <v>66</v>
      </c>
    </row>
    <row r="15" spans="1:13" ht="13" x14ac:dyDescent="0.3">
      <c r="A15" s="46"/>
      <c r="B15" s="46"/>
      <c r="C15" s="28">
        <v>0</v>
      </c>
      <c r="D15" s="40" t="s">
        <v>67</v>
      </c>
      <c r="G15" s="40" t="s">
        <v>68</v>
      </c>
    </row>
    <row r="16" spans="1:13" ht="13" x14ac:dyDescent="0.3">
      <c r="A16" s="46"/>
      <c r="B16" s="46"/>
      <c r="C16" s="28">
        <f>11997*I18</f>
        <v>1202.0994000000001</v>
      </c>
      <c r="D16" s="40" t="s">
        <v>128</v>
      </c>
      <c r="G16" s="40" t="s">
        <v>69</v>
      </c>
      <c r="I16" s="47">
        <f>124159451-12486</f>
        <v>124146965</v>
      </c>
      <c r="J16" s="40" t="s">
        <v>70</v>
      </c>
    </row>
    <row r="17" spans="1:10" ht="13" x14ac:dyDescent="0.3">
      <c r="A17" s="46"/>
      <c r="B17" s="46"/>
      <c r="C17" s="45">
        <f>SUM(C13:C16)</f>
        <v>12446587.099400001</v>
      </c>
      <c r="G17" s="40" t="s">
        <v>71</v>
      </c>
      <c r="I17" s="48">
        <f>+C13</f>
        <v>12445385</v>
      </c>
    </row>
    <row r="18" spans="1:10" ht="13" x14ac:dyDescent="0.3">
      <c r="A18" s="46"/>
      <c r="B18" s="46"/>
      <c r="C18" s="45"/>
      <c r="G18" s="40" t="s">
        <v>72</v>
      </c>
      <c r="I18" s="49">
        <f>ROUND((I17/I16),4)</f>
        <v>0.1002</v>
      </c>
    </row>
    <row r="19" spans="1:10" ht="16" x14ac:dyDescent="0.6">
      <c r="A19" s="59" t="s">
        <v>73</v>
      </c>
      <c r="B19" s="46"/>
      <c r="C19" s="45"/>
    </row>
    <row r="20" spans="1:10" ht="13" x14ac:dyDescent="0.3">
      <c r="A20" s="50" t="s">
        <v>63</v>
      </c>
      <c r="B20" s="50"/>
      <c r="C20" s="45"/>
    </row>
    <row r="21" spans="1:10" ht="13" x14ac:dyDescent="0.3">
      <c r="A21" s="51" t="s">
        <v>74</v>
      </c>
      <c r="B21" s="51"/>
      <c r="C21" s="45">
        <f>L9</f>
        <v>0</v>
      </c>
    </row>
    <row r="23" spans="1:10" ht="13" x14ac:dyDescent="0.3">
      <c r="A23" s="50" t="s">
        <v>65</v>
      </c>
      <c r="B23" s="50"/>
      <c r="G23" s="60" t="s">
        <v>75</v>
      </c>
      <c r="H23" s="60"/>
      <c r="I23" s="60"/>
    </row>
    <row r="24" spans="1:10" ht="13" x14ac:dyDescent="0.3">
      <c r="A24" s="46" t="s">
        <v>76</v>
      </c>
      <c r="B24" s="46"/>
      <c r="G24" s="60" t="s">
        <v>77</v>
      </c>
      <c r="H24" s="61">
        <f>C36</f>
        <v>0</v>
      </c>
      <c r="I24" s="60"/>
    </row>
    <row r="25" spans="1:10" x14ac:dyDescent="0.25">
      <c r="A25" s="40" t="s">
        <v>78</v>
      </c>
      <c r="C25" s="16">
        <f>J9</f>
        <v>123600</v>
      </c>
      <c r="G25" s="60" t="s">
        <v>79</v>
      </c>
      <c r="H25" s="61">
        <f>+C21+C33+C34+C35+C36+C37+C38+C39+C41</f>
        <v>728900.49120000005</v>
      </c>
      <c r="I25" s="62" t="s">
        <v>80</v>
      </c>
      <c r="J25" s="40">
        <f>C21</f>
        <v>0</v>
      </c>
    </row>
    <row r="26" spans="1:10" x14ac:dyDescent="0.25">
      <c r="A26" s="40" t="s">
        <v>105</v>
      </c>
      <c r="C26" s="16">
        <f>K9</f>
        <v>21093</v>
      </c>
      <c r="G26" s="60" t="s">
        <v>67</v>
      </c>
      <c r="H26" s="61">
        <f>+C40</f>
        <v>109125.91619999999</v>
      </c>
      <c r="I26" s="60"/>
    </row>
    <row r="27" spans="1:10" x14ac:dyDescent="0.25">
      <c r="A27" s="40" t="s">
        <v>83</v>
      </c>
      <c r="C27" s="16">
        <f>I9</f>
        <v>0</v>
      </c>
      <c r="G27" s="60" t="s">
        <v>82</v>
      </c>
      <c r="H27" s="61">
        <f>C25+C33</f>
        <v>123600</v>
      </c>
      <c r="I27" s="60"/>
    </row>
    <row r="28" spans="1:10" x14ac:dyDescent="0.25">
      <c r="G28" s="60" t="s">
        <v>127</v>
      </c>
      <c r="H28" s="61">
        <f>C26+C34+C35</f>
        <v>21093</v>
      </c>
      <c r="I28" s="60"/>
    </row>
    <row r="29" spans="1:10" ht="13" x14ac:dyDescent="0.3">
      <c r="C29" s="45">
        <f>SUM(C25:C27)</f>
        <v>144693</v>
      </c>
      <c r="G29" s="60"/>
      <c r="H29" s="63">
        <f>SUM(H24:H28)</f>
        <v>982719.40740000003</v>
      </c>
      <c r="I29" s="60"/>
    </row>
    <row r="30" spans="1:10" ht="13" x14ac:dyDescent="0.3">
      <c r="C30" s="45"/>
      <c r="H30" s="36"/>
    </row>
    <row r="31" spans="1:10" ht="13" x14ac:dyDescent="0.3">
      <c r="C31" s="45"/>
      <c r="H31" s="36"/>
    </row>
    <row r="32" spans="1:10" ht="13" x14ac:dyDescent="0.3">
      <c r="A32" s="46" t="s">
        <v>126</v>
      </c>
      <c r="B32" s="46"/>
      <c r="H32" s="46"/>
    </row>
    <row r="33" spans="1:11" x14ac:dyDescent="0.25">
      <c r="A33" s="40" t="s">
        <v>84</v>
      </c>
      <c r="C33" s="16">
        <f>+E33*$I$18</f>
        <v>0</v>
      </c>
      <c r="E33" s="16">
        <f>F9</f>
        <v>0</v>
      </c>
    </row>
    <row r="34" spans="1:11" x14ac:dyDescent="0.25">
      <c r="A34" s="40" t="s">
        <v>81</v>
      </c>
      <c r="C34" s="16">
        <f t="shared" ref="C34:C36" si="1">+E34*$I$18</f>
        <v>0</v>
      </c>
      <c r="E34" s="16">
        <f>G9</f>
        <v>0</v>
      </c>
      <c r="H34" s="37"/>
      <c r="I34" s="37"/>
    </row>
    <row r="35" spans="1:11" x14ac:dyDescent="0.25">
      <c r="A35" s="40" t="s">
        <v>62</v>
      </c>
      <c r="C35" s="16">
        <f t="shared" si="1"/>
        <v>0</v>
      </c>
      <c r="E35" s="16">
        <f>H9</f>
        <v>0</v>
      </c>
      <c r="H35" s="52"/>
      <c r="I35" s="52"/>
    </row>
    <row r="36" spans="1:11" x14ac:dyDescent="0.25">
      <c r="A36" s="40" t="s">
        <v>57</v>
      </c>
      <c r="C36" s="16">
        <f t="shared" si="1"/>
        <v>0</v>
      </c>
      <c r="E36" s="16">
        <f>E9</f>
        <v>0</v>
      </c>
      <c r="H36" s="37"/>
      <c r="I36" s="37"/>
    </row>
    <row r="37" spans="1:11" x14ac:dyDescent="0.25">
      <c r="A37" s="40" t="s">
        <v>55</v>
      </c>
      <c r="C37" s="16">
        <f>+E37*$I$18</f>
        <v>235226.01300000001</v>
      </c>
      <c r="E37" s="16">
        <f>C9</f>
        <v>2347565</v>
      </c>
    </row>
    <row r="38" spans="1:11" x14ac:dyDescent="0.25">
      <c r="A38" s="40" t="s">
        <v>130</v>
      </c>
      <c r="C38" s="16">
        <f t="shared" ref="C38:C39" si="2">+E38*$I$18</f>
        <v>118409.1456</v>
      </c>
      <c r="E38" s="16">
        <f>+B9</f>
        <v>1181728</v>
      </c>
    </row>
    <row r="39" spans="1:11" x14ac:dyDescent="0.25">
      <c r="A39" s="40" t="s">
        <v>85</v>
      </c>
      <c r="C39" s="16">
        <f t="shared" si="2"/>
        <v>0</v>
      </c>
      <c r="E39" s="16">
        <f>D9</f>
        <v>0</v>
      </c>
      <c r="G39" s="51"/>
      <c r="I39" s="53"/>
    </row>
    <row r="40" spans="1:11" x14ac:dyDescent="0.25">
      <c r="A40" s="40" t="s">
        <v>86</v>
      </c>
      <c r="C40" s="16">
        <f>+E40*$I$18</f>
        <v>109125.91619999999</v>
      </c>
      <c r="E40" s="16">
        <v>1089081</v>
      </c>
      <c r="G40" s="51"/>
      <c r="H40" s="54"/>
      <c r="I40" s="54"/>
    </row>
    <row r="41" spans="1:11" x14ac:dyDescent="0.25">
      <c r="A41" s="40" t="s">
        <v>87</v>
      </c>
      <c r="C41" s="16">
        <f>+E41*$I$18</f>
        <v>375265.33259999997</v>
      </c>
      <c r="E41" s="16">
        <f>A9</f>
        <v>3745163</v>
      </c>
      <c r="G41" s="51"/>
      <c r="H41" s="54"/>
      <c r="I41" s="54"/>
    </row>
    <row r="42" spans="1:11" ht="13" x14ac:dyDescent="0.3">
      <c r="C42" s="45">
        <f>SUM(C33:C41)</f>
        <v>838026.40739999991</v>
      </c>
      <c r="E42" s="45">
        <f>SUM(E33:E41)</f>
        <v>8363537</v>
      </c>
    </row>
    <row r="44" spans="1:11" x14ac:dyDescent="0.25">
      <c r="A44" s="40" t="s">
        <v>88</v>
      </c>
      <c r="C44" s="16">
        <f>C17-C42-C21-C29</f>
        <v>11463867.692000002</v>
      </c>
    </row>
    <row r="45" spans="1:11" x14ac:dyDescent="0.25">
      <c r="A45" s="40" t="s">
        <v>89</v>
      </c>
      <c r="C45" s="16">
        <v>0</v>
      </c>
    </row>
    <row r="46" spans="1:11" x14ac:dyDescent="0.25">
      <c r="A46" s="40" t="s">
        <v>90</v>
      </c>
      <c r="C46" s="16">
        <f>C44*20%</f>
        <v>2292773.5384000004</v>
      </c>
      <c r="D46" s="40" t="s">
        <v>91</v>
      </c>
      <c r="G46" s="40" t="s">
        <v>92</v>
      </c>
      <c r="H46" s="37"/>
      <c r="I46" s="28">
        <f>58466100+10797606+9343590+212139032</f>
        <v>290746328</v>
      </c>
    </row>
    <row r="47" spans="1:11" x14ac:dyDescent="0.25">
      <c r="D47" s="40" t="s">
        <v>93</v>
      </c>
      <c r="G47" s="40" t="s">
        <v>94</v>
      </c>
      <c r="H47" s="52"/>
      <c r="I47" s="55">
        <f>IF(J47&gt;20000000,20000000,J47)</f>
        <v>20000000</v>
      </c>
      <c r="J47" s="40">
        <f>+I46*0.1</f>
        <v>29074632.800000001</v>
      </c>
      <c r="K47" s="40" t="s">
        <v>95</v>
      </c>
    </row>
    <row r="48" spans="1:11" x14ac:dyDescent="0.25">
      <c r="C48" s="16">
        <f>(C44-C46-C47)*I51</f>
        <v>0</v>
      </c>
      <c r="D48" s="40" t="s">
        <v>96</v>
      </c>
      <c r="G48" s="40" t="s">
        <v>106</v>
      </c>
      <c r="H48" s="37"/>
      <c r="I48" s="28">
        <f>C17</f>
        <v>12446587.099400001</v>
      </c>
      <c r="J48" s="40" t="s">
        <v>97</v>
      </c>
    </row>
    <row r="49" spans="1:9" x14ac:dyDescent="0.25">
      <c r="G49" s="40" t="s">
        <v>98</v>
      </c>
      <c r="H49" s="37"/>
      <c r="I49" s="38">
        <f>IF((I48-I47)&gt;0,I48-I47,0)</f>
        <v>0</v>
      </c>
    </row>
    <row r="50" spans="1:9" x14ac:dyDescent="0.25">
      <c r="A50" s="40" t="s">
        <v>99</v>
      </c>
      <c r="C50" s="16">
        <f>(C44-C46-C47)*I51</f>
        <v>0</v>
      </c>
      <c r="D50" s="40" t="s">
        <v>96</v>
      </c>
      <c r="I50" s="16"/>
    </row>
    <row r="51" spans="1:9" x14ac:dyDescent="0.25">
      <c r="G51" s="51" t="s">
        <v>100</v>
      </c>
      <c r="I51" s="53">
        <f>IF(I49=0,0,(I48-I47)/I48)</f>
        <v>0</v>
      </c>
    </row>
    <row r="52" spans="1:9" x14ac:dyDescent="0.25">
      <c r="A52" s="40" t="s">
        <v>101</v>
      </c>
      <c r="C52" s="16">
        <f>C50*16%</f>
        <v>0</v>
      </c>
      <c r="D52" s="56"/>
    </row>
    <row r="54" spans="1:9" x14ac:dyDescent="0.25">
      <c r="A54" s="40" t="s">
        <v>107</v>
      </c>
      <c r="C54" s="16">
        <f>C44-C52</f>
        <v>11463867.692000002</v>
      </c>
      <c r="D54" s="56"/>
    </row>
  </sheetData>
  <mergeCells count="3">
    <mergeCell ref="A1:K1"/>
    <mergeCell ref="A3:H3"/>
    <mergeCell ref="I3:K3"/>
  </mergeCells>
  <phoneticPr fontId="2" type="noConversion"/>
  <pageMargins left="0" right="0" top="0.78740157480314965" bottom="0.78740157480314965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eredménykimut</vt:lpstr>
      <vt:lpstr>mérleg</vt:lpstr>
      <vt:lpstr>mutatók</vt:lpstr>
      <vt:lpstr>vállalkozási tevékenység</vt:lpstr>
      <vt:lpstr>eredménykimut!Nyomtatási_terület</vt:lpstr>
      <vt:lpstr>mérleg!Nyomtatási_terület</vt:lpstr>
    </vt:vector>
  </TitlesOfParts>
  <Company>BKÁEÁK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hdida</dc:creator>
  <cp:lastModifiedBy>Dr. Gyergyák Ferenc</cp:lastModifiedBy>
  <cp:lastPrinted>2020-02-26T14:13:06Z</cp:lastPrinted>
  <dcterms:created xsi:type="dcterms:W3CDTF">2001-02-28T14:42:18Z</dcterms:created>
  <dcterms:modified xsi:type="dcterms:W3CDTF">2020-02-27T21:21:39Z</dcterms:modified>
</cp:coreProperties>
</file>